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4d8bd3b43466be/Download/"/>
    </mc:Choice>
  </mc:AlternateContent>
  <xr:revisionPtr revIDLastSave="0" documentId="8_{FCDD95F6-0F7F-4CCD-9A0B-5216976A4114}" xr6:coauthVersionLast="46" xr6:coauthVersionMax="46" xr10:uidLastSave="{00000000-0000-0000-0000-000000000000}"/>
  <bookViews>
    <workbookView xWindow="-28920" yWindow="-120" windowWidth="29040" windowHeight="17640" xr2:uid="{00000000-000D-0000-FFFF-FFFF00000000}"/>
  </bookViews>
  <sheets>
    <sheet name="Ergebnis" sheetId="1" r:id="rId1"/>
    <sheet name="Kapital- &amp; Betriebsgeb. Kosten" sheetId="3" r:id="rId2"/>
    <sheet name="Date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P24" i="1"/>
  <c r="N24" i="1"/>
  <c r="L24" i="1"/>
  <c r="D24" i="1"/>
  <c r="F24" i="1"/>
  <c r="H24" i="1"/>
  <c r="F25" i="1"/>
  <c r="H25" i="1" s="1"/>
  <c r="J25" i="1" s="1"/>
  <c r="P17" i="1"/>
  <c r="N17" i="1"/>
  <c r="L17" i="1"/>
  <c r="J17" i="1"/>
  <c r="H17" i="1"/>
  <c r="F17" i="1"/>
  <c r="D17" i="1"/>
  <c r="D21" i="1" s="1"/>
  <c r="F21" i="1" s="1"/>
  <c r="H21" i="1" s="1"/>
  <c r="J21" i="1" s="1"/>
  <c r="L21" i="1" s="1"/>
  <c r="N21" i="1" s="1"/>
  <c r="P21" i="1" s="1"/>
  <c r="B98" i="3"/>
  <c r="D34" i="1" s="1"/>
  <c r="J33" i="1"/>
  <c r="D101" i="3"/>
  <c r="D125" i="3" s="1"/>
  <c r="H44" i="1" s="1"/>
  <c r="H46" i="1" s="1"/>
  <c r="F40" i="1"/>
  <c r="H40" i="1" s="1"/>
  <c r="J40" i="1" s="1"/>
  <c r="D50" i="1"/>
  <c r="F48" i="1"/>
  <c r="H48" i="1" s="1"/>
  <c r="J48" i="1" s="1"/>
  <c r="L48" i="1" s="1"/>
  <c r="N48" i="1" s="1"/>
  <c r="P48" i="1" s="1"/>
  <c r="P50" i="1" s="1"/>
  <c r="P44" i="1"/>
  <c r="N44" i="1"/>
  <c r="N46" i="1" s="1"/>
  <c r="L44" i="1"/>
  <c r="L46" i="1" s="1"/>
  <c r="J44" i="1"/>
  <c r="J46" i="1" s="1"/>
  <c r="F44" i="1"/>
  <c r="F46" i="1" s="1"/>
  <c r="D44" i="1"/>
  <c r="C125" i="3"/>
  <c r="E125" i="3"/>
  <c r="F125" i="3"/>
  <c r="G125" i="3"/>
  <c r="H125" i="3"/>
  <c r="B125" i="3"/>
  <c r="H38" i="1"/>
  <c r="F38" i="1" s="1"/>
  <c r="J38" i="1"/>
  <c r="J39" i="1" s="1"/>
  <c r="E77" i="5"/>
  <c r="P35" i="1"/>
  <c r="N35" i="1"/>
  <c r="L35" i="1"/>
  <c r="J35" i="1"/>
  <c r="H35" i="1"/>
  <c r="F35" i="1"/>
  <c r="D35" i="1"/>
  <c r="D33" i="1"/>
  <c r="E4" i="5"/>
  <c r="E3" i="5"/>
  <c r="D4" i="5"/>
  <c r="D3" i="5"/>
  <c r="L8" i="1"/>
  <c r="D29" i="1"/>
  <c r="F29" i="1" s="1"/>
  <c r="H29" i="1" s="1"/>
  <c r="J29" i="1" s="1"/>
  <c r="L29" i="1" s="1"/>
  <c r="N29" i="1" s="1"/>
  <c r="P29" i="1" s="1"/>
  <c r="P10" i="1"/>
  <c r="L10" i="1"/>
  <c r="P8" i="1"/>
  <c r="N8" i="1"/>
  <c r="J8" i="1"/>
  <c r="H8" i="1"/>
  <c r="F8" i="1"/>
  <c r="D8" i="1"/>
  <c r="B104" i="3"/>
  <c r="C104" i="3"/>
  <c r="D104" i="3"/>
  <c r="E104" i="3"/>
  <c r="F104" i="3"/>
  <c r="G104" i="3"/>
  <c r="H104" i="3"/>
  <c r="C100" i="3"/>
  <c r="F33" i="1" s="1"/>
  <c r="C99" i="3"/>
  <c r="D99" i="3" s="1"/>
  <c r="E99" i="3" s="1"/>
  <c r="F58" i="5"/>
  <c r="F59" i="5"/>
  <c r="G58" i="5"/>
  <c r="I43" i="5"/>
  <c r="N31" i="5"/>
  <c r="M32" i="5"/>
  <c r="M33" i="5" s="1"/>
  <c r="M34" i="5" s="1"/>
  <c r="N34" i="5" s="1"/>
  <c r="E72" i="5"/>
  <c r="E74" i="5" s="1"/>
  <c r="K51" i="5"/>
  <c r="J51" i="5"/>
  <c r="H44" i="5"/>
  <c r="I44" i="5" s="1"/>
  <c r="K44" i="5" s="1"/>
  <c r="H45" i="5"/>
  <c r="J45" i="5" s="1"/>
  <c r="H46" i="5"/>
  <c r="J46" i="5" s="1"/>
  <c r="H47" i="5"/>
  <c r="I47" i="5" s="1"/>
  <c r="K47" i="5" s="1"/>
  <c r="H48" i="5"/>
  <c r="J48" i="5" s="1"/>
  <c r="H49" i="5"/>
  <c r="I49" i="5" s="1"/>
  <c r="K49" i="5" s="1"/>
  <c r="H50" i="5"/>
  <c r="I50" i="5" s="1"/>
  <c r="H52" i="5"/>
  <c r="J52" i="5" s="1"/>
  <c r="L52" i="5" s="1"/>
  <c r="L53" i="5" s="1"/>
  <c r="L55" i="5" s="1"/>
  <c r="L56" i="5" s="1"/>
  <c r="H43" i="5"/>
  <c r="G55" i="5"/>
  <c r="G56" i="5" s="1"/>
  <c r="F53" i="5"/>
  <c r="F55" i="5" s="1"/>
  <c r="F56" i="5" s="1"/>
  <c r="J31" i="5"/>
  <c r="J32" i="5" s="1"/>
  <c r="J33" i="5" s="1"/>
  <c r="J34" i="5" s="1"/>
  <c r="I32" i="5"/>
  <c r="I33" i="5" s="1"/>
  <c r="I34" i="5" s="1"/>
  <c r="K32" i="5"/>
  <c r="K33" i="5" s="1"/>
  <c r="K34" i="5" s="1"/>
  <c r="H23" i="1" l="1"/>
  <c r="L50" i="1"/>
  <c r="L25" i="1"/>
  <c r="N25" i="1" s="1"/>
  <c r="P25" i="1" s="1"/>
  <c r="L40" i="1"/>
  <c r="N40" i="1" s="1"/>
  <c r="P40" i="1" s="1"/>
  <c r="N50" i="1"/>
  <c r="N52" i="1" s="1"/>
  <c r="N57" i="1" s="1"/>
  <c r="L52" i="1"/>
  <c r="L57" i="1" s="1"/>
  <c r="H50" i="1"/>
  <c r="H52" i="1" s="1"/>
  <c r="H57" i="1" s="1"/>
  <c r="J50" i="1"/>
  <c r="J52" i="1" s="1"/>
  <c r="J57" i="1" s="1"/>
  <c r="F50" i="1"/>
  <c r="F52" i="1" s="1"/>
  <c r="F57" i="1" s="1"/>
  <c r="D46" i="1"/>
  <c r="D52" i="1" s="1"/>
  <c r="D57" i="1" s="1"/>
  <c r="P46" i="1"/>
  <c r="P52" i="1" s="1"/>
  <c r="P57" i="1" s="1"/>
  <c r="H39" i="1"/>
  <c r="F39" i="1"/>
  <c r="D38" i="1"/>
  <c r="D39" i="1" s="1"/>
  <c r="L38" i="1"/>
  <c r="D100" i="3"/>
  <c r="J37" i="1"/>
  <c r="H37" i="1"/>
  <c r="F37" i="1"/>
  <c r="F20" i="1"/>
  <c r="D58" i="5"/>
  <c r="P12" i="1"/>
  <c r="D98" i="3"/>
  <c r="H34" i="1" s="1"/>
  <c r="C98" i="3"/>
  <c r="F34" i="1" s="1"/>
  <c r="F99" i="3"/>
  <c r="E98" i="3"/>
  <c r="J34" i="1" s="1"/>
  <c r="G59" i="5"/>
  <c r="D59" i="5" s="1"/>
  <c r="L34" i="5"/>
  <c r="N33" i="5"/>
  <c r="N32" i="5"/>
  <c r="L31" i="5"/>
  <c r="L33" i="5"/>
  <c r="L32" i="5"/>
  <c r="J50" i="5"/>
  <c r="J49" i="5"/>
  <c r="J44" i="5"/>
  <c r="K43" i="5"/>
  <c r="I45" i="5"/>
  <c r="K45" i="5" s="1"/>
  <c r="J47" i="5"/>
  <c r="I48" i="5"/>
  <c r="K48" i="5" s="1"/>
  <c r="I46" i="5"/>
  <c r="K46" i="5" s="1"/>
  <c r="H53" i="5"/>
  <c r="H55" i="5" s="1"/>
  <c r="H56" i="5" s="1"/>
  <c r="J43" i="5"/>
  <c r="Q32" i="5"/>
  <c r="S32" i="5" s="1"/>
  <c r="U32" i="5" s="1"/>
  <c r="V32" i="5" s="1"/>
  <c r="Q33" i="5"/>
  <c r="S33" i="5" s="1"/>
  <c r="U33" i="5" s="1"/>
  <c r="V33" i="5" s="1"/>
  <c r="Q34" i="5"/>
  <c r="S34" i="5" s="1"/>
  <c r="U34" i="5" s="1"/>
  <c r="V34" i="5" s="1"/>
  <c r="F32" i="5"/>
  <c r="H32" i="5" s="1"/>
  <c r="F33" i="5"/>
  <c r="H33" i="5" s="1"/>
  <c r="F34" i="5"/>
  <c r="H34" i="5" s="1"/>
  <c r="Q31" i="5"/>
  <c r="S31" i="5" s="1"/>
  <c r="U31" i="5" s="1"/>
  <c r="V31" i="5" s="1"/>
  <c r="F31" i="5"/>
  <c r="H31" i="5" s="1"/>
  <c r="D23" i="5"/>
  <c r="E23" i="5"/>
  <c r="F23" i="5"/>
  <c r="G23" i="5"/>
  <c r="H23" i="5"/>
  <c r="I23" i="5"/>
  <c r="D24" i="5"/>
  <c r="E24" i="5"/>
  <c r="F24" i="5"/>
  <c r="G24" i="5"/>
  <c r="H24" i="5"/>
  <c r="I24" i="5"/>
  <c r="D25" i="5"/>
  <c r="E25" i="5"/>
  <c r="F25" i="5"/>
  <c r="G25" i="5"/>
  <c r="H25" i="5"/>
  <c r="I25" i="5"/>
  <c r="E22" i="5"/>
  <c r="F22" i="5"/>
  <c r="G22" i="5"/>
  <c r="H22" i="5"/>
  <c r="I22" i="5"/>
  <c r="D22" i="5"/>
  <c r="F23" i="1" l="1"/>
  <c r="L37" i="1"/>
  <c r="F42" i="1"/>
  <c r="D37" i="1"/>
  <c r="D42" i="1" s="1"/>
  <c r="N38" i="1"/>
  <c r="L39" i="1"/>
  <c r="E100" i="3"/>
  <c r="H33" i="1"/>
  <c r="H42" i="1" s="1"/>
  <c r="H20" i="1"/>
  <c r="J20" i="1" s="1"/>
  <c r="P15" i="1"/>
  <c r="P28" i="1"/>
  <c r="P27" i="1" s="1"/>
  <c r="F98" i="3"/>
  <c r="L34" i="1" s="1"/>
  <c r="G99" i="3"/>
  <c r="J53" i="5"/>
  <c r="J55" i="5" s="1"/>
  <c r="J56" i="5" s="1"/>
  <c r="K53" i="5"/>
  <c r="K55" i="5" s="1"/>
  <c r="K56" i="5" s="1"/>
  <c r="I53" i="5"/>
  <c r="O33" i="5"/>
  <c r="T33" i="5" s="1"/>
  <c r="O34" i="5"/>
  <c r="O32" i="5"/>
  <c r="T32" i="5" s="1"/>
  <c r="O31" i="5"/>
  <c r="H97" i="3"/>
  <c r="C97" i="3"/>
  <c r="D97" i="3"/>
  <c r="E97" i="3"/>
  <c r="F97" i="3"/>
  <c r="G97" i="3"/>
  <c r="B97" i="3"/>
  <c r="D23" i="1" l="1"/>
  <c r="N37" i="1"/>
  <c r="P38" i="1"/>
  <c r="N39" i="1"/>
  <c r="F100" i="3"/>
  <c r="J42" i="1"/>
  <c r="P16" i="1"/>
  <c r="H99" i="3"/>
  <c r="H98" i="3" s="1"/>
  <c r="P34" i="1" s="1"/>
  <c r="G98" i="3"/>
  <c r="N34" i="1" s="1"/>
  <c r="I55" i="5"/>
  <c r="I56" i="5" s="1"/>
  <c r="P33" i="5"/>
  <c r="R31" i="5"/>
  <c r="T31" i="5"/>
  <c r="W31" i="5"/>
  <c r="X31" i="5" s="1"/>
  <c r="R33" i="5"/>
  <c r="W33" i="5"/>
  <c r="X33" i="5" s="1"/>
  <c r="P32" i="5"/>
  <c r="W32" i="5"/>
  <c r="X32" i="5" s="1"/>
  <c r="P34" i="5"/>
  <c r="W34" i="5"/>
  <c r="X34" i="5" s="1"/>
  <c r="R32" i="5"/>
  <c r="R34" i="5"/>
  <c r="T34" i="5"/>
  <c r="P31" i="5"/>
  <c r="P39" i="1" l="1"/>
  <c r="P37" i="1"/>
  <c r="G100" i="3"/>
  <c r="N33" i="1" s="1"/>
  <c r="N42" i="1" s="1"/>
  <c r="L33" i="1"/>
  <c r="L42" i="1" s="1"/>
  <c r="L20" i="1"/>
  <c r="H100" i="3"/>
  <c r="P33" i="1" s="1"/>
  <c r="H101" i="3"/>
  <c r="G101" i="3"/>
  <c r="D102" i="3"/>
  <c r="F101" i="3"/>
  <c r="F102" i="3" s="1"/>
  <c r="C101" i="3"/>
  <c r="B101" i="3"/>
  <c r="P42" i="1" l="1"/>
  <c r="N20" i="1"/>
  <c r="G102" i="3"/>
  <c r="B102" i="3"/>
  <c r="C102" i="3"/>
  <c r="H102" i="3"/>
  <c r="E101" i="3"/>
  <c r="E102" i="3" s="1"/>
  <c r="P20" i="1" l="1"/>
  <c r="P19" i="1" s="1"/>
  <c r="N10" i="1"/>
  <c r="J10" i="1"/>
  <c r="H10" i="1"/>
  <c r="F10" i="1"/>
  <c r="D10" i="1"/>
  <c r="D12" i="1" s="1"/>
  <c r="D28" i="1" s="1"/>
  <c r="D27" i="1" s="1"/>
  <c r="D9" i="1" l="1"/>
  <c r="F9" i="1" l="1"/>
  <c r="H9" i="1"/>
  <c r="H12" i="1"/>
  <c r="H28" i="1" s="1"/>
  <c r="H27" i="1" s="1"/>
  <c r="J12" i="1"/>
  <c r="J28" i="1" s="1"/>
  <c r="J27" i="1" s="1"/>
  <c r="L12" i="1"/>
  <c r="L28" i="1" s="1"/>
  <c r="L27" i="1" s="1"/>
  <c r="F12" i="1"/>
  <c r="F28" i="1" s="1"/>
  <c r="F27" i="1" s="1"/>
  <c r="N12" i="1"/>
  <c r="N28" i="1" s="1"/>
  <c r="N27" i="1" s="1"/>
  <c r="L15" i="1" l="1"/>
  <c r="L16" i="1" s="1"/>
  <c r="L19" i="1" s="1"/>
  <c r="F15" i="1"/>
  <c r="N15" i="1"/>
  <c r="J15" i="1"/>
  <c r="H15" i="1"/>
  <c r="D15" i="1"/>
  <c r="H16" i="1" l="1"/>
  <c r="H19" i="1" s="1"/>
  <c r="H31" i="1" s="1"/>
  <c r="J16" i="1"/>
  <c r="N16" i="1"/>
  <c r="N19" i="1" s="1"/>
  <c r="F16" i="1"/>
  <c r="F19" i="1" s="1"/>
  <c r="D16" i="1"/>
  <c r="F31" i="1" l="1"/>
  <c r="F59" i="1" s="1"/>
  <c r="F60" i="1" s="1"/>
  <c r="J19" i="1"/>
  <c r="J24" i="1"/>
  <c r="D19" i="1"/>
  <c r="H59" i="1"/>
  <c r="D31" i="1" l="1"/>
  <c r="D59" i="1" s="1"/>
  <c r="D60" i="1" s="1"/>
  <c r="J23" i="1"/>
  <c r="J31" i="1" s="1"/>
  <c r="J59" i="1" s="1"/>
  <c r="J60" i="1" s="1"/>
  <c r="L23" i="1" l="1"/>
  <c r="L31" i="1" s="1"/>
  <c r="L59" i="1" s="1"/>
  <c r="L60" i="1" s="1"/>
  <c r="N23" i="1" l="1"/>
  <c r="N31" i="1" s="1"/>
  <c r="N59" i="1" s="1"/>
  <c r="N60" i="1" s="1"/>
  <c r="P23" i="1"/>
  <c r="P31" i="1" s="1"/>
  <c r="P59" i="1" s="1"/>
  <c r="P60" i="1" s="1"/>
</calcChain>
</file>

<file path=xl/sharedStrings.xml><?xml version="1.0" encoding="utf-8"?>
<sst xmlns="http://schemas.openxmlformats.org/spreadsheetml/2006/main" count="551" uniqueCount="241">
  <si>
    <t>Wärmeverbrauch</t>
  </si>
  <si>
    <t>Jahresnutzungsgrad Kessel</t>
  </si>
  <si>
    <t>Gesamtkosten</t>
  </si>
  <si>
    <t>Investitionskosten</t>
  </si>
  <si>
    <t>Nutzungsdauer</t>
  </si>
  <si>
    <t>Zinssatz (kalkulatorisch)</t>
  </si>
  <si>
    <t>Gebäudeart</t>
  </si>
  <si>
    <t>zu beheizende Fläche</t>
  </si>
  <si>
    <t>Nummer</t>
  </si>
  <si>
    <t>EFH</t>
  </si>
  <si>
    <t>ZFH</t>
  </si>
  <si>
    <t>Vollbenutzungsstunden</t>
  </si>
  <si>
    <t>Wärmeerzeugungsanlage (WEA):</t>
  </si>
  <si>
    <t>Modernisierung</t>
  </si>
  <si>
    <t>Warmwasserbereitung (WW) über WEA:</t>
  </si>
  <si>
    <t>ja</t>
  </si>
  <si>
    <t>Verfügbarkeitsstandart WW:</t>
  </si>
  <si>
    <t>normaler Standard</t>
  </si>
  <si>
    <t>Nr.</t>
  </si>
  <si>
    <t>1. Erfassung der Gebäudeteile</t>
  </si>
  <si>
    <t>MFH</t>
  </si>
  <si>
    <t>Baujahr</t>
  </si>
  <si>
    <t>Raumhöhe</t>
  </si>
  <si>
    <t>Bis 2,8 m</t>
  </si>
  <si>
    <t>Gleichzeitigkeitsfaktor</t>
  </si>
  <si>
    <t>2. Auslegungsempfehlung</t>
  </si>
  <si>
    <t>Auslegung WW (Boiler) min</t>
  </si>
  <si>
    <t>Bedarf Gebäudeteile</t>
  </si>
  <si>
    <t>Zuschlag für WW</t>
  </si>
  <si>
    <t>3. Demontage von Altanlagen</t>
  </si>
  <si>
    <t>Demontage WEA</t>
  </si>
  <si>
    <t>Material WEA</t>
  </si>
  <si>
    <t>Stahl</t>
  </si>
  <si>
    <t>Kesselleistung bis</t>
  </si>
  <si>
    <t>Anzahl Heizkreise</t>
  </si>
  <si>
    <t>Kesselzerlegung</t>
  </si>
  <si>
    <t>nein</t>
  </si>
  <si>
    <t>Demontage WW</t>
  </si>
  <si>
    <t>Material Isolierung WW</t>
  </si>
  <si>
    <t>Standard</t>
  </si>
  <si>
    <t>Größe WW bis</t>
  </si>
  <si>
    <t>Kellerzerlegung erforderlich</t>
  </si>
  <si>
    <t>Warmwasserbereitung modernisieren</t>
  </si>
  <si>
    <t>Konzept Warmwasserbereitung</t>
  </si>
  <si>
    <t>Speicher</t>
  </si>
  <si>
    <t>Material WW Speicher</t>
  </si>
  <si>
    <t>Emailliert</t>
  </si>
  <si>
    <t>Aufstellart WW Speicher</t>
  </si>
  <si>
    <t>Stehend</t>
  </si>
  <si>
    <t>Hydraulische Weiche modernisieren</t>
  </si>
  <si>
    <t>Heizkreise modernisieren</t>
  </si>
  <si>
    <t>Art Heizkreis 1</t>
  </si>
  <si>
    <t>Statische Heizung</t>
  </si>
  <si>
    <t>Mischer gewünscht</t>
  </si>
  <si>
    <t>nur wenn 
technisch erforderlich</t>
  </si>
  <si>
    <t>nur wenn 
techn. erforderlich</t>
  </si>
  <si>
    <t>Art Heizkreis 2</t>
  </si>
  <si>
    <t>Warmwasser</t>
  </si>
  <si>
    <t>6. Objektdaten</t>
  </si>
  <si>
    <t>Gebäudehöhe</t>
  </si>
  <si>
    <t>Abstand WEA zum Kamin</t>
  </si>
  <si>
    <t>Abstand WEA zum Verteiler</t>
  </si>
  <si>
    <t>7. Wärmeerzeugungsanlage</t>
  </si>
  <si>
    <t>Energieart</t>
  </si>
  <si>
    <t>Anlagenkonzept</t>
  </si>
  <si>
    <t>Einkesselanlage</t>
  </si>
  <si>
    <t>Fernüberwachung</t>
  </si>
  <si>
    <t>Wärmemengenzähler exkludieren</t>
  </si>
  <si>
    <t>Inspektion und Wartung</t>
  </si>
  <si>
    <t>Reaktionszeit Entstörung</t>
  </si>
  <si>
    <t>Instandsetzung inklusive</t>
  </si>
  <si>
    <t>Betriebsgebundene Kosten</t>
  </si>
  <si>
    <t>Verbrauchsgebundene Kosten</t>
  </si>
  <si>
    <t>Heizleistung pro Quadratmeter</t>
  </si>
  <si>
    <t>#</t>
  </si>
  <si>
    <t>Brennstoffkosten</t>
  </si>
  <si>
    <t>Kapitalgebundene Kosten</t>
  </si>
  <si>
    <t>• Demontage</t>
  </si>
  <si>
    <t>• Wasseraufbereitung</t>
  </si>
  <si>
    <t>• Warmwasserspeicher</t>
  </si>
  <si>
    <t>• Ausdehnungsgefäß</t>
  </si>
  <si>
    <t>• Pauschalen</t>
  </si>
  <si>
    <t>1982 bis 1993</t>
  </si>
  <si>
    <t>Bedarfsklasse</t>
  </si>
  <si>
    <t>WSVO 1982</t>
  </si>
  <si>
    <t>Speicherladesaystem gewünscht</t>
  </si>
  <si>
    <t>5. Warmwasserbereitung WW</t>
  </si>
  <si>
    <t>8. Erfassung Heizkreise</t>
  </si>
  <si>
    <t>Zuleitung Betriebsstrom</t>
  </si>
  <si>
    <t>Systemtrennung modernisieren/erstellen</t>
  </si>
  <si>
    <t>Pumpe BUS fähig (falls möglich)</t>
  </si>
  <si>
    <t>9. Wärmemengenzähler</t>
  </si>
  <si>
    <t>10. Kamin</t>
  </si>
  <si>
    <t>11. Optionen Heizzentrale</t>
  </si>
  <si>
    <t>Wasseraufbereitung</t>
  </si>
  <si>
    <t>Schalldämmhaube</t>
  </si>
  <si>
    <t>Ölleitung</t>
  </si>
  <si>
    <t>Entfernung zu den Öltanks</t>
  </si>
  <si>
    <t>bis 5 m</t>
  </si>
  <si>
    <t>Elektroschaltschrank</t>
  </si>
  <si>
    <t>Neutralisationseinrichtung</t>
  </si>
  <si>
    <t>Kodensathebeanlage</t>
  </si>
  <si>
    <t>Schlammabscheider</t>
  </si>
  <si>
    <t>Entgasung</t>
  </si>
  <si>
    <t>Pumpendruckhaltung</t>
  </si>
  <si>
    <t>12. Betriebsführung</t>
  </si>
  <si>
    <t>Abstand Kessel zum Puffer</t>
  </si>
  <si>
    <t>Pufferspeicher</t>
  </si>
  <si>
    <t>Abstand Kessel zum Enwässerungspunkt</t>
  </si>
  <si>
    <t>bis 10 m</t>
  </si>
  <si>
    <t>In bestehenden Kamin einbinden</t>
  </si>
  <si>
    <t>Abstand Pufferspeicher zu Verteiler</t>
  </si>
  <si>
    <t>Minimales Einbringungsmaß</t>
  </si>
  <si>
    <t>Minimale Deckenhöhe</t>
  </si>
  <si>
    <t>Länge der Aufstellfläche</t>
  </si>
  <si>
    <t>Breite der Aufstellfläche</t>
  </si>
  <si>
    <t>4. Angaben zum Pufferspeicher</t>
  </si>
  <si>
    <t>Anzahl der Verbraucher / Wohneinheiten (ab MFH)</t>
  </si>
  <si>
    <t>• Pufferspeicher</t>
  </si>
  <si>
    <t>Investitionskosten Heizzentrale (netto)</t>
  </si>
  <si>
    <t>Inspektions- und Wartungskosten (netto)</t>
  </si>
  <si>
    <t>Instandsetzungskosten / Reparaturen (netto)</t>
  </si>
  <si>
    <t>Gebäudeheizlast / Kesselleistung:</t>
  </si>
  <si>
    <t>• Pumpen und Armaturen</t>
  </si>
  <si>
    <t>• Wärmeerzeugungsanlage (Scheitholzkessel)</t>
  </si>
  <si>
    <t xml:space="preserve">Ermittlung der Investitions-, Finanzierungs- und betriebsgebundenen Kosten von Scheitholzkessel inkl. Brauchwarmwasserbereitung </t>
  </si>
  <si>
    <t>Scheitholz</t>
  </si>
  <si>
    <t>Mehrwertsteuer Brennholz:</t>
  </si>
  <si>
    <t>Quelle</t>
  </si>
  <si>
    <t>TFZ</t>
  </si>
  <si>
    <t>ø Heizwert Hartholz:</t>
  </si>
  <si>
    <t>ø Heizwert Weichholz:</t>
  </si>
  <si>
    <t>Meterware Hartholz gespalten</t>
  </si>
  <si>
    <t>Meterware Weichholz gespalten</t>
  </si>
  <si>
    <t>33 cm Hartholz gespalten</t>
  </si>
  <si>
    <t>33 cm Weichholz gespalten</t>
  </si>
  <si>
    <t>Sortiment:</t>
  </si>
  <si>
    <t>Mittelwert</t>
  </si>
  <si>
    <t>Minimum</t>
  </si>
  <si>
    <t>Maximum</t>
  </si>
  <si>
    <t>Bruttopreis inkl. Lieferung 10 km</t>
  </si>
  <si>
    <t>Bruttopreis pro kWh inkl. Lieferung 10 km</t>
  </si>
  <si>
    <t>Jahresnutzungsgrad Kessel:</t>
  </si>
  <si>
    <t>Nettopreis inkl. Lieferung 10 km</t>
  </si>
  <si>
    <t>Nettopreis pro kWh inkl. Lieferung 10 km</t>
  </si>
  <si>
    <t>Berechnung der eigenen Kosten:</t>
  </si>
  <si>
    <t>Buchenholz (4 m)</t>
  </si>
  <si>
    <t>Holzkosten</t>
  </si>
  <si>
    <t>Arbeitszeit</t>
  </si>
  <si>
    <t>Heizwert</t>
  </si>
  <si>
    <t>Wärme</t>
  </si>
  <si>
    <t>Berechnungsdaten:</t>
  </si>
  <si>
    <t>LEW</t>
  </si>
  <si>
    <t>Stromverbrauch je kWh Wärme:</t>
  </si>
  <si>
    <t>Strompreis:</t>
  </si>
  <si>
    <t>Stromkosten</t>
  </si>
  <si>
    <t>Gesamtkosten (Holz)</t>
  </si>
  <si>
    <t>Verbrauchskosten</t>
  </si>
  <si>
    <t>Kaminkehrerkosten</t>
  </si>
  <si>
    <t>Brennholzkosten</t>
  </si>
  <si>
    <t>Grundwert je Gebäude</t>
  </si>
  <si>
    <t>Grundwert je Gebäude für Kehr- und Überprüfungsarbeiten</t>
  </si>
  <si>
    <t>Grundwert je Gebäude für Überprüfungsarbeiten</t>
  </si>
  <si>
    <t>Anteilige Fahrtpauschale pro Arbeitsgang je Nutzungseinheit</t>
  </si>
  <si>
    <t>Überprüfung der Abgasanalge (Öl)</t>
  </si>
  <si>
    <t>Abgasrohr kehren</t>
  </si>
  <si>
    <t>Kehrarbeiten an senkrechten Teilen von Abgasanlagen</t>
  </si>
  <si>
    <t>Abgaswegeüberprüfung für Feuerstätten Öl</t>
  </si>
  <si>
    <t>Emissionsmessung (Holz)</t>
  </si>
  <si>
    <t>Gesamtkosten (netto)</t>
  </si>
  <si>
    <t>Gesamtkosten (brutto)</t>
  </si>
  <si>
    <t>1 AW =</t>
  </si>
  <si>
    <t>Summe Arbeitswerte (AW):</t>
  </si>
  <si>
    <t>Emissionsmessung (Öl)</t>
  </si>
  <si>
    <t>Kehr- und Überprüfungsgebühren</t>
  </si>
  <si>
    <t>Feuerstättenschau</t>
  </si>
  <si>
    <t>Zuschlag je Feuerstätte</t>
  </si>
  <si>
    <t>Ausstellung eines Bescheides</t>
  </si>
  <si>
    <t>Kaminkehrer</t>
  </si>
  <si>
    <t>Reparaturkosten Holzkessel</t>
  </si>
  <si>
    <t>Einbau:</t>
  </si>
  <si>
    <t>Sonstige Kosten</t>
  </si>
  <si>
    <t>2 x in 7 Jahren</t>
  </si>
  <si>
    <t>Kosten für Scheitholzkessel:</t>
  </si>
  <si>
    <t>Kosten für Heizölkessel:</t>
  </si>
  <si>
    <t>Turboscheibe-Topfbrenner</t>
  </si>
  <si>
    <t>Brennerschale</t>
  </si>
  <si>
    <t>Reparatur Steuerung</t>
  </si>
  <si>
    <t>Dichtungen</t>
  </si>
  <si>
    <t>Einsatz komplett</t>
  </si>
  <si>
    <t>Topfbrennring</t>
  </si>
  <si>
    <t>Brennertopf-Scheibe</t>
  </si>
  <si>
    <t>Anmerkungen:</t>
  </si>
  <si>
    <t xml:space="preserve"> - Holzkessel nur halbjährlich in Betrieb</t>
  </si>
  <si>
    <t xml:space="preserve"> - sämtliche Reparaturen selbst durchgeführt</t>
  </si>
  <si>
    <t>Angesetze durchschnittlich Reparaturkosten von 330 €/a daher plausibel</t>
  </si>
  <si>
    <t>Zeitaufwand Betrieb des Scheitholzkessels</t>
  </si>
  <si>
    <t xml:space="preserve"> - 6 Monate Schürren (180 Tage)</t>
  </si>
  <si>
    <t xml:space="preserve"> - Kesselreinigung</t>
  </si>
  <si>
    <t xml:space="preserve"> - Holz reinräumen</t>
  </si>
  <si>
    <t xml:space="preserve"> - Traktor / Diesel</t>
  </si>
  <si>
    <t xml:space="preserve"> - Holzspalter / Strom</t>
  </si>
  <si>
    <t xml:space="preserve"> - Motorsäge / Sprit</t>
  </si>
  <si>
    <t>12. Leistungsverzeichnisse</t>
  </si>
  <si>
    <t>13. Zusatzleistungen bei Heizungseinbau</t>
  </si>
  <si>
    <t>• Hydraulischer Abgleich (zwingend für die Förderung)</t>
  </si>
  <si>
    <t>• Heizungspumpe (optional, falls notwendig)</t>
  </si>
  <si>
    <t>• Heizungsmischer (optional, falls notwendig)</t>
  </si>
  <si>
    <t>• Mischer Stellmotor (optional, falls notwendig)</t>
  </si>
  <si>
    <t>• Zirkulationspumpe (optional, falls notwendig)</t>
  </si>
  <si>
    <t>• Absperrungen Heizung (optional, falls notwendig)</t>
  </si>
  <si>
    <t>• Absperrungen Kaltwasser (optional, falls notwendig)</t>
  </si>
  <si>
    <t>• Schlammabscheider (optional)</t>
  </si>
  <si>
    <t>alle Angaben sind Bruttopreise</t>
  </si>
  <si>
    <t>Wärmegestehungskosten Scheitholzkessel (Bestand)</t>
  </si>
  <si>
    <t>Heizleistung des Gebäudes</t>
  </si>
  <si>
    <t>Stromverbrauch</t>
  </si>
  <si>
    <t>Strompreis</t>
  </si>
  <si>
    <t>Stromkosten für Kesselbetrieb</t>
  </si>
  <si>
    <t>Energieinhalt Scheitholz</t>
  </si>
  <si>
    <t>ø Scheitholzkosten (Hartholz):</t>
  </si>
  <si>
    <t>ø Scheitholzkosten (Weichholz):</t>
  </si>
  <si>
    <t>Wartungskosten</t>
  </si>
  <si>
    <t>ø Reparaturkosten (25 Jahre)</t>
  </si>
  <si>
    <t>ø Schornsteinfegerkosten</t>
  </si>
  <si>
    <t>Arbeitsaufwand</t>
  </si>
  <si>
    <t>Kostenansatz</t>
  </si>
  <si>
    <t>• Demontage der Altanalge</t>
  </si>
  <si>
    <t>• ….</t>
  </si>
  <si>
    <t>Investitionskosten für Vergleichsberechnung</t>
  </si>
  <si>
    <t>Förderung mit Heizöltausch (45%)</t>
  </si>
  <si>
    <t>Zusatzleistungen beim Heizungseinbau</t>
  </si>
  <si>
    <t>individuell</t>
  </si>
  <si>
    <t>hydraulischer Abgleich (Schätzkosten)</t>
  </si>
  <si>
    <t>Zusatzleistungen bei der Heizungsoptimierung</t>
  </si>
  <si>
    <t>Förderung für Heizungsoptimierung (20%)</t>
  </si>
  <si>
    <t>Gesamtkosten nach Förderung</t>
  </si>
  <si>
    <t>Scheitholzverbrauch 
(Hartholz 50% / Weichholz 50%)</t>
  </si>
  <si>
    <t>Kessel schürren,  Kessel reinigen, Holz in Heizkeller räumen, …</t>
  </si>
  <si>
    <t>Scheitholzkosten (frei Grundstück, Länge: 1 m, 50% Hartholz / 50% Weichholz)</t>
  </si>
  <si>
    <t>Holz auf 50 cm schneiden und ansetzen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</si>
</sst>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#,##0.00&quot; &quot;[$€-407];[Red]&quot;-&quot;#,##0.00&quot; &quot;[$€-407]"/>
    <numFmt numFmtId="165" formatCode="0\ &quot;kW&quot;"/>
    <numFmt numFmtId="166" formatCode="#,##0\ &quot;€&quot;"/>
    <numFmt numFmtId="167" formatCode="#,##0\ &quot;kWh&quot;"/>
    <numFmt numFmtId="168" formatCode="0.0%"/>
    <numFmt numFmtId="169" formatCode="#,##0\ &quot;€/a&quot;"/>
    <numFmt numFmtId="170" formatCode="0.00\ &quot;Ct/kWh&quot;"/>
    <numFmt numFmtId="171" formatCode="0\ &quot;Jahre&quot;"/>
    <numFmt numFmtId="172" formatCode="#,##0\ &quot;qm&quot;"/>
    <numFmt numFmtId="173" formatCode="#,##0\ &quot;h/a&quot;"/>
    <numFmt numFmtId="174" formatCode="#,##0\ &quot;m²&quot;"/>
    <numFmt numFmtId="175" formatCode="#,##0.00\ &quot;€&quot;"/>
    <numFmt numFmtId="176" formatCode="#,##0.00\ &quot;€/a&quot;"/>
    <numFmt numFmtId="177" formatCode="0\ &quot;m&quot;"/>
    <numFmt numFmtId="178" formatCode="0\ &quot;h&quot;"/>
    <numFmt numFmtId="179" formatCode="#,##0\ &quot;kW&quot;"/>
    <numFmt numFmtId="180" formatCode="#,##0\ &quot;Liter&quot;"/>
    <numFmt numFmtId="181" formatCode="0\ &quot;W/qm&quot;"/>
    <numFmt numFmtId="182" formatCode="0.0\ &quot;m&quot;"/>
    <numFmt numFmtId="183" formatCode="0\ &quot;Liter/kW&quot;"/>
    <numFmt numFmtId="184" formatCode="#,##0\ &quot;€/kW&quot;"/>
    <numFmt numFmtId="185" formatCode="#,##0\ &quot;kWh/Rm&quot;"/>
    <numFmt numFmtId="186" formatCode="0.00\ &quot;€/Rm&quot;"/>
    <numFmt numFmtId="187" formatCode="0\ &quot;Ster&quot;"/>
    <numFmt numFmtId="188" formatCode="0.00\ &quot;€/h&quot;"/>
    <numFmt numFmtId="189" formatCode="0.0\ &quot;h&quot;"/>
    <numFmt numFmtId="190" formatCode="0.00\ &quot;€&quot;"/>
    <numFmt numFmtId="191" formatCode="0.00\ &quot;AW&quot;"/>
    <numFmt numFmtId="192" formatCode="0.00\ &quot;€/Ster&quot;"/>
    <numFmt numFmtId="193" formatCode="0.00\ &quot;€/a&quot;"/>
    <numFmt numFmtId="194" formatCode="0\ &quot;h/a&quot;"/>
    <numFmt numFmtId="195" formatCode="#,##0\ &quot;Ster&quot;"/>
    <numFmt numFmtId="196" formatCode="#,##0\ &quot;kWh/Ster&quot;"/>
    <numFmt numFmtId="197" formatCode="#,##0\ &quot;min pro Tag&quot;"/>
    <numFmt numFmtId="198" formatCode="0.00\ &quot;h/Ster&quot;"/>
    <numFmt numFmtId="199" formatCode="#,##0.00\ &quot;Ct/kWh&quot;"/>
    <numFmt numFmtId="200" formatCode="#,##0.0\ &quot;€/h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FF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2" tint="-0.74999237037263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44108"/>
        <bgColor indexed="64"/>
      </patternFill>
    </fill>
    <fill>
      <patternFill patternType="solid">
        <fgColor rgb="FF644108"/>
        <bgColor rgb="FFAEC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ECF00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4" fontId="11" fillId="0" borderId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2" fillId="0" borderId="0" xfId="2"/>
    <xf numFmtId="0" fontId="2" fillId="0" borderId="0" xfId="2" applyFill="1"/>
    <xf numFmtId="0" fontId="2" fillId="0" borderId="0" xfId="2" applyAlignment="1">
      <alignment horizontal="left" indent="1"/>
    </xf>
    <xf numFmtId="0" fontId="2" fillId="0" borderId="7" xfId="2" applyBorder="1"/>
    <xf numFmtId="0" fontId="2" fillId="0" borderId="4" xfId="2" applyFont="1" applyBorder="1"/>
    <xf numFmtId="171" fontId="8" fillId="2" borderId="13" xfId="2" applyNumberFormat="1" applyFont="1" applyFill="1" applyBorder="1" applyAlignment="1">
      <alignment horizontal="center"/>
    </xf>
    <xf numFmtId="168" fontId="8" fillId="2" borderId="14" xfId="1" applyNumberFormat="1" applyFont="1" applyFill="1" applyBorder="1" applyAlignment="1">
      <alignment horizontal="center"/>
    </xf>
    <xf numFmtId="0" fontId="5" fillId="0" borderId="16" xfId="2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2" applyFont="1" applyFill="1"/>
    <xf numFmtId="165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171" fontId="8" fillId="3" borderId="13" xfId="2" applyNumberFormat="1" applyFont="1" applyFill="1" applyBorder="1" applyAlignment="1">
      <alignment horizontal="center"/>
    </xf>
    <xf numFmtId="168" fontId="8" fillId="3" borderId="14" xfId="1" applyNumberFormat="1" applyFont="1" applyFill="1" applyBorder="1" applyAlignment="1">
      <alignment horizontal="center"/>
    </xf>
    <xf numFmtId="0" fontId="0" fillId="0" borderId="0" xfId="0" applyFill="1"/>
    <xf numFmtId="171" fontId="8" fillId="4" borderId="13" xfId="2" applyNumberFormat="1" applyFont="1" applyFill="1" applyBorder="1" applyAlignment="1">
      <alignment horizontal="center"/>
    </xf>
    <xf numFmtId="168" fontId="8" fillId="4" borderId="14" xfId="1" applyNumberFormat="1" applyFont="1" applyFill="1" applyBorder="1" applyAlignment="1">
      <alignment horizontal="center"/>
    </xf>
    <xf numFmtId="172" fontId="2" fillId="0" borderId="0" xfId="2" applyNumberFormat="1"/>
    <xf numFmtId="172" fontId="2" fillId="0" borderId="0" xfId="2" applyNumberFormat="1" applyFill="1"/>
    <xf numFmtId="0" fontId="0" fillId="0" borderId="0" xfId="0"/>
    <xf numFmtId="0" fontId="2" fillId="0" borderId="0" xfId="2" applyFont="1"/>
    <xf numFmtId="0" fontId="2" fillId="0" borderId="0" xfId="2" applyFont="1" applyFill="1"/>
    <xf numFmtId="0" fontId="2" fillId="0" borderId="0" xfId="2" applyFill="1" applyBorder="1"/>
    <xf numFmtId="168" fontId="8" fillId="0" borderId="0" xfId="1" applyNumberFormat="1" applyFont="1" applyFill="1" applyBorder="1" applyAlignment="1">
      <alignment horizontal="center"/>
    </xf>
    <xf numFmtId="0" fontId="14" fillId="0" borderId="0" xfId="2" applyFont="1"/>
    <xf numFmtId="181" fontId="2" fillId="0" borderId="0" xfId="2" applyNumberFormat="1" applyFont="1" applyFill="1"/>
    <xf numFmtId="181" fontId="2" fillId="0" borderId="0" xfId="2" applyNumberFormat="1" applyFont="1"/>
    <xf numFmtId="0" fontId="5" fillId="0" borderId="14" xfId="2" applyFont="1" applyBorder="1" applyAlignment="1">
      <alignment vertical="center"/>
    </xf>
    <xf numFmtId="0" fontId="7" fillId="2" borderId="16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indent="1"/>
    </xf>
    <xf numFmtId="170" fontId="8" fillId="0" borderId="0" xfId="2" applyNumberFormat="1" applyFont="1" applyFill="1" applyBorder="1" applyAlignment="1">
      <alignment horizontal="center"/>
    </xf>
    <xf numFmtId="0" fontId="8" fillId="0" borderId="0" xfId="2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80" fontId="7" fillId="6" borderId="5" xfId="0" applyNumberFormat="1" applyFont="1" applyFill="1" applyBorder="1" applyAlignment="1">
      <alignment horizontal="center" vertical="center"/>
    </xf>
    <xf numFmtId="180" fontId="7" fillId="6" borderId="6" xfId="0" applyNumberFormat="1" applyFont="1" applyFill="1" applyBorder="1" applyAlignment="1">
      <alignment horizontal="center" vertical="center"/>
    </xf>
    <xf numFmtId="179" fontId="7" fillId="6" borderId="1" xfId="0" applyNumberFormat="1" applyFont="1" applyFill="1" applyBorder="1" applyAlignment="1">
      <alignment horizontal="center" vertical="center"/>
    </xf>
    <xf numFmtId="179" fontId="7" fillId="6" borderId="11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vertical="center"/>
    </xf>
    <xf numFmtId="176" fontId="7" fillId="5" borderId="1" xfId="0" applyNumberFormat="1" applyFont="1" applyFill="1" applyBorder="1" applyAlignment="1">
      <alignment vertical="center"/>
    </xf>
    <xf numFmtId="175" fontId="7" fillId="5" borderId="1" xfId="0" applyNumberFormat="1" applyFont="1" applyFill="1" applyBorder="1" applyAlignment="1">
      <alignment vertical="center"/>
    </xf>
    <xf numFmtId="176" fontId="7" fillId="5" borderId="11" xfId="0" applyNumberFormat="1" applyFont="1" applyFill="1" applyBorder="1" applyAlignment="1">
      <alignment vertical="center"/>
    </xf>
    <xf numFmtId="175" fontId="7" fillId="5" borderId="11" xfId="0" applyNumberFormat="1" applyFont="1" applyFill="1" applyBorder="1" applyAlignment="1">
      <alignment vertical="center"/>
    </xf>
    <xf numFmtId="0" fontId="18" fillId="0" borderId="0" xfId="2" applyFont="1"/>
    <xf numFmtId="0" fontId="18" fillId="0" borderId="0" xfId="2" applyFont="1" applyFill="1"/>
    <xf numFmtId="0" fontId="0" fillId="0" borderId="29" xfId="0" applyBorder="1"/>
    <xf numFmtId="170" fontId="0" fillId="0" borderId="31" xfId="0" applyNumberFormat="1" applyBorder="1" applyAlignment="1">
      <alignment horizontal="center"/>
    </xf>
    <xf numFmtId="173" fontId="2" fillId="0" borderId="0" xfId="2" applyNumberFormat="1"/>
    <xf numFmtId="173" fontId="2" fillId="0" borderId="0" xfId="2" applyNumberFormat="1" applyFill="1"/>
    <xf numFmtId="9" fontId="0" fillId="0" borderId="0" xfId="1" applyFont="1"/>
    <xf numFmtId="169" fontId="0" fillId="0" borderId="0" xfId="0" applyNumberForma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4" fontId="9" fillId="0" borderId="10" xfId="0" applyNumberFormat="1" applyFont="1" applyFill="1" applyBorder="1" applyAlignment="1">
      <alignment horizontal="left" vertical="center" indent="1"/>
    </xf>
    <xf numFmtId="175" fontId="9" fillId="0" borderId="1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left" vertical="center" indent="1"/>
    </xf>
    <xf numFmtId="175" fontId="9" fillId="0" borderId="8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5" fontId="9" fillId="0" borderId="0" xfId="0" applyNumberFormat="1" applyFont="1" applyFill="1" applyAlignment="1">
      <alignment vertical="center"/>
    </xf>
    <xf numFmtId="175" fontId="9" fillId="0" borderId="11" xfId="0" applyNumberFormat="1" applyFont="1" applyFill="1" applyBorder="1" applyAlignment="1">
      <alignment vertical="center"/>
    </xf>
    <xf numFmtId="175" fontId="9" fillId="0" borderId="9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74" fontId="17" fillId="8" borderId="1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173" fontId="7" fillId="6" borderId="1" xfId="1" applyNumberFormat="1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174" fontId="17" fillId="8" borderId="11" xfId="0" applyNumberFormat="1" applyFont="1" applyFill="1" applyBorder="1" applyAlignment="1">
      <alignment horizontal="center" vertical="center"/>
    </xf>
    <xf numFmtId="173" fontId="7" fillId="6" borderId="11" xfId="1" applyNumberFormat="1" applyFont="1" applyFill="1" applyBorder="1" applyAlignment="1">
      <alignment horizontal="center" vertical="center"/>
    </xf>
    <xf numFmtId="9" fontId="7" fillId="6" borderId="8" xfId="1" applyFont="1" applyFill="1" applyBorder="1" applyAlignment="1">
      <alignment horizontal="center" vertical="center"/>
    </xf>
    <xf numFmtId="9" fontId="7" fillId="6" borderId="9" xfId="1" applyFont="1" applyFill="1" applyBorder="1" applyAlignment="1">
      <alignment horizontal="center" vertical="center"/>
    </xf>
    <xf numFmtId="179" fontId="7" fillId="6" borderId="8" xfId="0" applyNumberFormat="1" applyFont="1" applyFill="1" applyBorder="1" applyAlignment="1">
      <alignment horizontal="center" vertical="center"/>
    </xf>
    <xf numFmtId="179" fontId="7" fillId="6" borderId="9" xfId="0" applyNumberFormat="1" applyFont="1" applyFill="1" applyBorder="1" applyAlignment="1">
      <alignment horizontal="center" vertical="center"/>
    </xf>
    <xf numFmtId="179" fontId="17" fillId="8" borderId="1" xfId="0" applyNumberFormat="1" applyFont="1" applyFill="1" applyBorder="1" applyAlignment="1">
      <alignment horizontal="center" vertical="center"/>
    </xf>
    <xf numFmtId="180" fontId="17" fillId="8" borderId="1" xfId="0" applyNumberFormat="1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179" fontId="17" fillId="8" borderId="11" xfId="0" applyNumberFormat="1" applyFont="1" applyFill="1" applyBorder="1" applyAlignment="1">
      <alignment horizontal="center" vertical="center"/>
    </xf>
    <xf numFmtId="180" fontId="17" fillId="8" borderId="11" xfId="0" applyNumberFormat="1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177" fontId="17" fillId="8" borderId="5" xfId="0" applyNumberFormat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80" fontId="16" fillId="8" borderId="1" xfId="0" applyNumberFormat="1" applyFont="1" applyFill="1" applyBorder="1" applyAlignment="1">
      <alignment horizontal="center" vertical="center"/>
    </xf>
    <xf numFmtId="179" fontId="16" fillId="8" borderId="1" xfId="0" applyNumberFormat="1" applyFont="1" applyFill="1" applyBorder="1" applyAlignment="1">
      <alignment horizontal="center" vertical="center"/>
    </xf>
    <xf numFmtId="183" fontId="9" fillId="0" borderId="1" xfId="0" applyNumberFormat="1" applyFont="1" applyBorder="1" applyAlignment="1">
      <alignment horizontal="center" vertical="center"/>
    </xf>
    <xf numFmtId="182" fontId="17" fillId="8" borderId="1" xfId="0" applyNumberFormat="1" applyFont="1" applyFill="1" applyBorder="1" applyAlignment="1">
      <alignment horizontal="center" vertical="center"/>
    </xf>
    <xf numFmtId="182" fontId="17" fillId="8" borderId="5" xfId="0" applyNumberFormat="1" applyFont="1" applyFill="1" applyBorder="1" applyAlignment="1">
      <alignment horizontal="center" vertical="center"/>
    </xf>
    <xf numFmtId="182" fontId="17" fillId="8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left" vertical="center" indent="1"/>
    </xf>
    <xf numFmtId="175" fontId="21" fillId="0" borderId="1" xfId="0" applyNumberFormat="1" applyFont="1" applyFill="1" applyBorder="1" applyAlignment="1">
      <alignment vertical="center"/>
    </xf>
    <xf numFmtId="175" fontId="21" fillId="0" borderId="11" xfId="0" applyNumberFormat="1" applyFont="1" applyFill="1" applyBorder="1" applyAlignment="1">
      <alignment vertical="center"/>
    </xf>
    <xf numFmtId="0" fontId="20" fillId="0" borderId="0" xfId="0" applyFont="1"/>
    <xf numFmtId="0" fontId="22" fillId="0" borderId="10" xfId="0" applyFont="1" applyBorder="1" applyAlignment="1">
      <alignment vertical="center"/>
    </xf>
    <xf numFmtId="178" fontId="22" fillId="0" borderId="1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center" vertical="center"/>
    </xf>
    <xf numFmtId="0" fontId="23" fillId="0" borderId="0" xfId="0" applyFont="1"/>
    <xf numFmtId="184" fontId="7" fillId="5" borderId="1" xfId="0" applyNumberFormat="1" applyFont="1" applyFill="1" applyBorder="1" applyAlignment="1">
      <alignment vertical="center"/>
    </xf>
    <xf numFmtId="10" fontId="7" fillId="5" borderId="1" xfId="1" applyNumberFormat="1" applyFont="1" applyFill="1" applyBorder="1" applyAlignment="1">
      <alignment vertical="center"/>
    </xf>
    <xf numFmtId="0" fontId="17" fillId="8" borderId="35" xfId="0" applyFont="1" applyFill="1" applyBorder="1" applyAlignment="1">
      <alignment horizontal="center" vertical="center"/>
    </xf>
    <xf numFmtId="182" fontId="17" fillId="8" borderId="6" xfId="0" applyNumberFormat="1" applyFont="1" applyFill="1" applyBorder="1" applyAlignment="1">
      <alignment horizontal="center" vertical="center"/>
    </xf>
    <xf numFmtId="182" fontId="17" fillId="8" borderId="11" xfId="0" applyNumberFormat="1" applyFont="1" applyFill="1" applyBorder="1" applyAlignment="1">
      <alignment horizontal="center" vertical="center"/>
    </xf>
    <xf numFmtId="182" fontId="17" fillId="8" borderId="9" xfId="0" applyNumberFormat="1" applyFont="1" applyFill="1" applyBorder="1" applyAlignment="1">
      <alignment horizontal="center" vertical="center"/>
    </xf>
    <xf numFmtId="177" fontId="16" fillId="8" borderId="6" xfId="0" applyNumberFormat="1" applyFont="1" applyFill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83" fontId="9" fillId="0" borderId="11" xfId="0" applyNumberFormat="1" applyFont="1" applyBorder="1" applyAlignment="1">
      <alignment horizontal="center" vertical="center"/>
    </xf>
    <xf numFmtId="179" fontId="7" fillId="6" borderId="5" xfId="0" applyNumberFormat="1" applyFont="1" applyFill="1" applyBorder="1" applyAlignment="1">
      <alignment horizontal="right" vertical="center"/>
    </xf>
    <xf numFmtId="179" fontId="7" fillId="6" borderId="6" xfId="0" applyNumberFormat="1" applyFont="1" applyFill="1" applyBorder="1" applyAlignment="1">
      <alignment horizontal="right" vertical="center"/>
    </xf>
    <xf numFmtId="10" fontId="7" fillId="5" borderId="11" xfId="1" applyNumberFormat="1" applyFont="1" applyFill="1" applyBorder="1" applyAlignment="1">
      <alignment vertical="center"/>
    </xf>
    <xf numFmtId="184" fontId="7" fillId="5" borderId="11" xfId="0" applyNumberFormat="1" applyFont="1" applyFill="1" applyBorder="1" applyAlignment="1">
      <alignment vertical="center"/>
    </xf>
    <xf numFmtId="168" fontId="0" fillId="0" borderId="0" xfId="1" applyNumberFormat="1" applyFont="1"/>
    <xf numFmtId="186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170" fontId="0" fillId="0" borderId="11" xfId="0" applyNumberFormat="1" applyBorder="1" applyAlignment="1">
      <alignment horizontal="center"/>
    </xf>
    <xf numFmtId="0" fontId="0" fillId="0" borderId="7" xfId="0" applyBorder="1"/>
    <xf numFmtId="186" fontId="0" fillId="0" borderId="8" xfId="0" applyNumberFormat="1" applyBorder="1" applyAlignment="1">
      <alignment horizontal="center"/>
    </xf>
    <xf numFmtId="170" fontId="0" fillId="0" borderId="8" xfId="0" applyNumberFormat="1" applyBorder="1" applyAlignment="1">
      <alignment horizontal="center"/>
    </xf>
    <xf numFmtId="170" fontId="0" fillId="0" borderId="9" xfId="0" applyNumberFormat="1" applyBorder="1" applyAlignment="1">
      <alignment horizontal="center"/>
    </xf>
    <xf numFmtId="0" fontId="0" fillId="0" borderId="27" xfId="0" applyBorder="1"/>
    <xf numFmtId="186" fontId="0" fillId="0" borderId="28" xfId="0" applyNumberFormat="1" applyBorder="1" applyAlignment="1">
      <alignment horizontal="center"/>
    </xf>
    <xf numFmtId="170" fontId="0" fillId="0" borderId="28" xfId="0" applyNumberFormat="1" applyBorder="1" applyAlignment="1">
      <alignment horizontal="center"/>
    </xf>
    <xf numFmtId="170" fontId="0" fillId="0" borderId="3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37" xfId="0" applyBorder="1"/>
    <xf numFmtId="0" fontId="0" fillId="0" borderId="39" xfId="0" applyBorder="1" applyAlignment="1">
      <alignment horizontal="center"/>
    </xf>
    <xf numFmtId="170" fontId="0" fillId="0" borderId="32" xfId="0" applyNumberFormat="1" applyBorder="1" applyAlignment="1">
      <alignment horizontal="center"/>
    </xf>
    <xf numFmtId="170" fontId="0" fillId="0" borderId="3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86" fontId="0" fillId="0" borderId="27" xfId="0" applyNumberFormat="1" applyBorder="1" applyAlignment="1">
      <alignment horizontal="center"/>
    </xf>
    <xf numFmtId="186" fontId="0" fillId="0" borderId="35" xfId="0" applyNumberFormat="1" applyBorder="1" applyAlignment="1">
      <alignment horizontal="center"/>
    </xf>
    <xf numFmtId="186" fontId="0" fillId="0" borderId="10" xfId="0" applyNumberFormat="1" applyBorder="1" applyAlignment="1">
      <alignment horizontal="center"/>
    </xf>
    <xf numFmtId="186" fontId="0" fillId="0" borderId="11" xfId="0" applyNumberFormat="1" applyBorder="1" applyAlignment="1">
      <alignment horizontal="center"/>
    </xf>
    <xf numFmtId="186" fontId="0" fillId="0" borderId="7" xfId="0" applyNumberFormat="1" applyBorder="1" applyAlignment="1">
      <alignment horizontal="center"/>
    </xf>
    <xf numFmtId="186" fontId="0" fillId="0" borderId="9" xfId="0" applyNumberFormat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87" fontId="0" fillId="0" borderId="1" xfId="0" applyNumberFormat="1" applyBorder="1" applyAlignment="1">
      <alignment horizontal="center"/>
    </xf>
    <xf numFmtId="188" fontId="0" fillId="0" borderId="1" xfId="0" applyNumberFormat="1" applyBorder="1" applyAlignment="1">
      <alignment horizontal="center"/>
    </xf>
    <xf numFmtId="170" fontId="0" fillId="0" borderId="11" xfId="0" applyNumberFormat="1" applyBorder="1"/>
    <xf numFmtId="168" fontId="0" fillId="0" borderId="8" xfId="1" applyNumberFormat="1" applyFont="1" applyBorder="1" applyAlignment="1">
      <alignment horizontal="center"/>
    </xf>
    <xf numFmtId="187" fontId="0" fillId="0" borderId="8" xfId="0" applyNumberFormat="1" applyBorder="1" applyAlignment="1">
      <alignment horizontal="center"/>
    </xf>
    <xf numFmtId="188" fontId="0" fillId="0" borderId="8" xfId="0" applyNumberFormat="1" applyBorder="1" applyAlignment="1">
      <alignment horizontal="center"/>
    </xf>
    <xf numFmtId="170" fontId="0" fillId="0" borderId="9" xfId="0" applyNumberFormat="1" applyBorder="1"/>
    <xf numFmtId="14" fontId="0" fillId="0" borderId="12" xfId="0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6" fontId="0" fillId="0" borderId="39" xfId="0" applyNumberFormat="1" applyBorder="1" applyAlignment="1">
      <alignment horizontal="center"/>
    </xf>
    <xf numFmtId="186" fontId="0" fillId="0" borderId="12" xfId="0" applyNumberFormat="1" applyBorder="1" applyAlignment="1">
      <alignment horizontal="center"/>
    </xf>
    <xf numFmtId="186" fontId="0" fillId="0" borderId="37" xfId="0" applyNumberFormat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67" fontId="0" fillId="0" borderId="3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85" fontId="0" fillId="0" borderId="1" xfId="0" applyNumberFormat="1" applyBorder="1"/>
    <xf numFmtId="0" fontId="15" fillId="0" borderId="6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66" fontId="0" fillId="0" borderId="33" xfId="0" applyNumberFormat="1" applyBorder="1" applyAlignment="1">
      <alignment horizontal="center"/>
    </xf>
    <xf numFmtId="166" fontId="0" fillId="0" borderId="41" xfId="0" applyNumberFormat="1" applyBorder="1" applyAlignment="1">
      <alignment horizontal="center"/>
    </xf>
    <xf numFmtId="166" fontId="0" fillId="0" borderId="10" xfId="0" applyNumberFormat="1" applyBorder="1"/>
    <xf numFmtId="166" fontId="0" fillId="0" borderId="7" xfId="0" applyNumberFormat="1" applyBorder="1"/>
    <xf numFmtId="0" fontId="15" fillId="0" borderId="0" xfId="0" applyFont="1" applyBorder="1"/>
    <xf numFmtId="170" fontId="0" fillId="0" borderId="0" xfId="0" applyNumberFormat="1" applyBorder="1"/>
    <xf numFmtId="189" fontId="0" fillId="0" borderId="32" xfId="0" applyNumberFormat="1" applyBorder="1" applyAlignment="1">
      <alignment horizontal="center"/>
    </xf>
    <xf numFmtId="189" fontId="0" fillId="0" borderId="39" xfId="0" applyNumberFormat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68" fontId="0" fillId="0" borderId="28" xfId="1" applyNumberFormat="1" applyFont="1" applyBorder="1" applyAlignment="1">
      <alignment horizontal="center"/>
    </xf>
    <xf numFmtId="187" fontId="0" fillId="0" borderId="28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89" fontId="0" fillId="0" borderId="31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86" fontId="0" fillId="0" borderId="29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70" fontId="0" fillId="0" borderId="35" xfId="0" applyNumberFormat="1" applyBorder="1"/>
    <xf numFmtId="167" fontId="0" fillId="0" borderId="31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27" xfId="0" applyNumberFormat="1" applyBorder="1"/>
    <xf numFmtId="0" fontId="15" fillId="0" borderId="24" xfId="0" applyFont="1" applyBorder="1" applyAlignment="1">
      <alignment horizontal="center"/>
    </xf>
    <xf numFmtId="188" fontId="0" fillId="9" borderId="28" xfId="0" applyNumberFormat="1" applyFill="1" applyBorder="1" applyAlignment="1">
      <alignment horizontal="center"/>
    </xf>
    <xf numFmtId="14" fontId="0" fillId="0" borderId="0" xfId="0" applyNumberFormat="1"/>
    <xf numFmtId="175" fontId="0" fillId="0" borderId="0" xfId="0" applyNumberFormat="1" applyBorder="1" applyAlignment="1">
      <alignment horizontal="center"/>
    </xf>
    <xf numFmtId="0" fontId="15" fillId="0" borderId="43" xfId="0" applyFont="1" applyBorder="1" applyAlignment="1"/>
    <xf numFmtId="0" fontId="15" fillId="0" borderId="22" xfId="0" applyFont="1" applyBorder="1" applyAlignment="1"/>
    <xf numFmtId="190" fontId="0" fillId="0" borderId="0" xfId="0" applyNumberFormat="1"/>
    <xf numFmtId="0" fontId="15" fillId="0" borderId="0" xfId="0" applyFont="1"/>
    <xf numFmtId="14" fontId="15" fillId="0" borderId="0" xfId="0" applyNumberFormat="1" applyFont="1"/>
    <xf numFmtId="0" fontId="0" fillId="0" borderId="44" xfId="0" applyBorder="1"/>
    <xf numFmtId="190" fontId="15" fillId="0" borderId="0" xfId="0" applyNumberFormat="1" applyFont="1"/>
    <xf numFmtId="0" fontId="15" fillId="0" borderId="23" xfId="0" applyFont="1" applyBorder="1" applyAlignment="1"/>
    <xf numFmtId="0" fontId="0" fillId="0" borderId="0" xfId="0" applyBorder="1"/>
    <xf numFmtId="190" fontId="0" fillId="0" borderId="0" xfId="0" applyNumberFormat="1" applyBorder="1"/>
    <xf numFmtId="191" fontId="0" fillId="0" borderId="0" xfId="0" applyNumberFormat="1"/>
    <xf numFmtId="191" fontId="0" fillId="0" borderId="44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92" fontId="0" fillId="0" borderId="27" xfId="0" applyNumberFormat="1" applyBorder="1" applyAlignment="1">
      <alignment horizontal="center"/>
    </xf>
    <xf numFmtId="192" fontId="0" fillId="0" borderId="10" xfId="0" applyNumberFormat="1" applyBorder="1" applyAlignment="1">
      <alignment horizontal="center"/>
    </xf>
    <xf numFmtId="192" fontId="0" fillId="0" borderId="7" xfId="0" applyNumberFormat="1" applyBorder="1" applyAlignment="1">
      <alignment horizontal="center"/>
    </xf>
    <xf numFmtId="192" fontId="0" fillId="0" borderId="28" xfId="0" applyNumberFormat="1" applyBorder="1" applyAlignment="1">
      <alignment horizontal="center"/>
    </xf>
    <xf numFmtId="192" fontId="0" fillId="0" borderId="1" xfId="0" applyNumberFormat="1" applyBorder="1" applyAlignment="1">
      <alignment horizontal="center"/>
    </xf>
    <xf numFmtId="192" fontId="0" fillId="0" borderId="8" xfId="0" applyNumberFormat="1" applyBorder="1" applyAlignment="1">
      <alignment horizontal="center"/>
    </xf>
    <xf numFmtId="191" fontId="0" fillId="0" borderId="0" xfId="0" applyNumberFormat="1" applyFont="1"/>
    <xf numFmtId="14" fontId="15" fillId="0" borderId="0" xfId="0" applyNumberFormat="1" applyFont="1" applyAlignment="1">
      <alignment horizontal="right"/>
    </xf>
    <xf numFmtId="190" fontId="0" fillId="0" borderId="0" xfId="0" applyNumberFormat="1" applyFill="1" applyBorder="1"/>
    <xf numFmtId="0" fontId="0" fillId="0" borderId="0" xfId="0" applyFont="1"/>
    <xf numFmtId="0" fontId="0" fillId="0" borderId="0" xfId="0" applyFont="1" applyFill="1" applyBorder="1"/>
    <xf numFmtId="169" fontId="0" fillId="0" borderId="1" xfId="0" applyNumberFormat="1" applyBorder="1" applyAlignment="1">
      <alignment horizontal="center"/>
    </xf>
    <xf numFmtId="0" fontId="25" fillId="0" borderId="0" xfId="0" applyFont="1"/>
    <xf numFmtId="14" fontId="0" fillId="0" borderId="0" xfId="0" applyNumberFormat="1" applyAlignment="1">
      <alignment horizontal="center"/>
    </xf>
    <xf numFmtId="192" fontId="0" fillId="9" borderId="27" xfId="0" applyNumberFormat="1" applyFill="1" applyBorder="1" applyAlignment="1">
      <alignment horizontal="center"/>
    </xf>
    <xf numFmtId="0" fontId="15" fillId="0" borderId="0" xfId="0" applyFont="1" applyAlignment="1">
      <alignment horizontal="center"/>
    </xf>
    <xf numFmtId="193" fontId="15" fillId="0" borderId="0" xfId="0" applyNumberFormat="1" applyFont="1"/>
    <xf numFmtId="175" fontId="15" fillId="0" borderId="0" xfId="0" applyNumberFormat="1" applyFont="1"/>
    <xf numFmtId="14" fontId="0" fillId="0" borderId="44" xfId="0" applyNumberFormat="1" applyBorder="1" applyAlignment="1">
      <alignment horizontal="center"/>
    </xf>
    <xf numFmtId="190" fontId="0" fillId="0" borderId="44" xfId="0" applyNumberFormat="1" applyBorder="1"/>
    <xf numFmtId="194" fontId="15" fillId="0" borderId="0" xfId="0" applyNumberFormat="1" applyFont="1" applyAlignment="1">
      <alignment horizontal="center"/>
    </xf>
    <xf numFmtId="192" fontId="1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175" fontId="9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5" fillId="0" borderId="0" xfId="2" applyFont="1"/>
    <xf numFmtId="0" fontId="5" fillId="0" borderId="0" xfId="2" applyFont="1" applyFill="1"/>
    <xf numFmtId="192" fontId="0" fillId="0" borderId="28" xfId="0" applyNumberFormat="1" applyFont="1" applyBorder="1" applyAlignment="1">
      <alignment horizontal="center"/>
    </xf>
    <xf numFmtId="170" fontId="0" fillId="0" borderId="47" xfId="0" applyNumberFormat="1" applyBorder="1" applyAlignment="1">
      <alignment horizontal="center"/>
    </xf>
    <xf numFmtId="0" fontId="29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172" fontId="7" fillId="2" borderId="14" xfId="2" applyNumberFormat="1" applyFont="1" applyFill="1" applyBorder="1" applyAlignment="1">
      <alignment horizontal="center"/>
    </xf>
    <xf numFmtId="172" fontId="7" fillId="3" borderId="14" xfId="2" applyNumberFormat="1" applyFont="1" applyFill="1" applyBorder="1" applyAlignment="1">
      <alignment horizontal="center"/>
    </xf>
    <xf numFmtId="172" fontId="7" fillId="4" borderId="14" xfId="2" applyNumberFormat="1" applyFont="1" applyFill="1" applyBorder="1" applyAlignment="1">
      <alignment horizontal="center"/>
    </xf>
    <xf numFmtId="169" fontId="7" fillId="5" borderId="1" xfId="2" applyNumberFormat="1" applyFont="1" applyFill="1" applyBorder="1" applyAlignment="1">
      <alignment horizontal="center"/>
    </xf>
    <xf numFmtId="0" fontId="5" fillId="0" borderId="13" xfId="2" applyFont="1" applyBorder="1"/>
    <xf numFmtId="0" fontId="2" fillId="0" borderId="15" xfId="2" applyFont="1" applyBorder="1"/>
    <xf numFmtId="0" fontId="2" fillId="0" borderId="14" xfId="2" applyBorder="1" applyAlignment="1">
      <alignment vertical="top"/>
    </xf>
    <xf numFmtId="165" fontId="7" fillId="2" borderId="13" xfId="2" applyNumberFormat="1" applyFont="1" applyFill="1" applyBorder="1" applyAlignment="1">
      <alignment horizontal="center"/>
    </xf>
    <xf numFmtId="181" fontId="8" fillId="2" borderId="15" xfId="2" applyNumberFormat="1" applyFont="1" applyFill="1" applyBorder="1" applyAlignment="1">
      <alignment horizontal="center"/>
    </xf>
    <xf numFmtId="173" fontId="8" fillId="2" borderId="14" xfId="2" applyNumberFormat="1" applyFont="1" applyFill="1" applyBorder="1" applyAlignment="1">
      <alignment horizontal="center"/>
    </xf>
    <xf numFmtId="165" fontId="7" fillId="3" borderId="13" xfId="2" applyNumberFormat="1" applyFont="1" applyFill="1" applyBorder="1" applyAlignment="1">
      <alignment horizontal="center"/>
    </xf>
    <xf numFmtId="181" fontId="8" fillId="3" borderId="15" xfId="2" applyNumberFormat="1" applyFont="1" applyFill="1" applyBorder="1" applyAlignment="1">
      <alignment horizontal="center"/>
    </xf>
    <xf numFmtId="173" fontId="8" fillId="3" borderId="14" xfId="2" applyNumberFormat="1" applyFont="1" applyFill="1" applyBorder="1" applyAlignment="1">
      <alignment horizontal="center"/>
    </xf>
    <xf numFmtId="165" fontId="7" fillId="4" borderId="13" xfId="2" applyNumberFormat="1" applyFont="1" applyFill="1" applyBorder="1" applyAlignment="1">
      <alignment horizontal="center"/>
    </xf>
    <xf numFmtId="181" fontId="8" fillId="4" borderId="15" xfId="2" applyNumberFormat="1" applyFont="1" applyFill="1" applyBorder="1" applyAlignment="1">
      <alignment horizontal="center"/>
    </xf>
    <xf numFmtId="173" fontId="8" fillId="4" borderId="14" xfId="2" applyNumberFormat="1" applyFont="1" applyFill="1" applyBorder="1" applyAlignment="1">
      <alignment horizontal="center"/>
    </xf>
    <xf numFmtId="198" fontId="0" fillId="9" borderId="27" xfId="0" applyNumberFormat="1" applyFill="1" applyBorder="1" applyAlignment="1">
      <alignment horizontal="center"/>
    </xf>
    <xf numFmtId="198" fontId="0" fillId="0" borderId="27" xfId="0" applyNumberFormat="1" applyBorder="1" applyAlignment="1">
      <alignment horizontal="center"/>
    </xf>
    <xf numFmtId="198" fontId="0" fillId="0" borderId="45" xfId="0" applyNumberFormat="1" applyBorder="1" applyAlignment="1">
      <alignment horizontal="center"/>
    </xf>
    <xf numFmtId="4" fontId="7" fillId="5" borderId="21" xfId="0" applyNumberFormat="1" applyFont="1" applyFill="1" applyBorder="1" applyAlignment="1">
      <alignment vertical="center"/>
    </xf>
    <xf numFmtId="175" fontId="7" fillId="5" borderId="22" xfId="0" applyNumberFormat="1" applyFont="1" applyFill="1" applyBorder="1" applyAlignment="1">
      <alignment vertical="center"/>
    </xf>
    <xf numFmtId="199" fontId="7" fillId="5" borderId="1" xfId="2" applyNumberFormat="1" applyFont="1" applyFill="1" applyBorder="1" applyAlignment="1">
      <alignment horizontal="center"/>
    </xf>
    <xf numFmtId="0" fontId="5" fillId="0" borderId="49" xfId="2" applyFont="1" applyBorder="1"/>
    <xf numFmtId="167" fontId="7" fillId="2" borderId="49" xfId="2" applyNumberFormat="1" applyFont="1" applyFill="1" applyBorder="1" applyAlignment="1">
      <alignment horizontal="center"/>
    </xf>
    <xf numFmtId="167" fontId="7" fillId="3" borderId="49" xfId="2" applyNumberFormat="1" applyFont="1" applyFill="1" applyBorder="1" applyAlignment="1">
      <alignment horizontal="center"/>
    </xf>
    <xf numFmtId="167" fontId="7" fillId="4" borderId="49" xfId="2" applyNumberFormat="1" applyFont="1" applyFill="1" applyBorder="1" applyAlignment="1">
      <alignment horizontal="center"/>
    </xf>
    <xf numFmtId="0" fontId="2" fillId="0" borderId="13" xfId="2" applyFont="1" applyBorder="1" applyAlignment="1">
      <alignment horizontal="left"/>
    </xf>
    <xf numFmtId="0" fontId="2" fillId="0" borderId="15" xfId="2" applyBorder="1" applyAlignment="1"/>
    <xf numFmtId="168" fontId="8" fillId="2" borderId="13" xfId="1" applyNumberFormat="1" applyFont="1" applyFill="1" applyBorder="1" applyAlignment="1">
      <alignment horizontal="center"/>
    </xf>
    <xf numFmtId="167" fontId="8" fillId="2" borderId="15" xfId="2" applyNumberFormat="1" applyFont="1" applyFill="1" applyBorder="1" applyAlignment="1">
      <alignment horizontal="center"/>
    </xf>
    <xf numFmtId="195" fontId="8" fillId="2" borderId="15" xfId="2" applyNumberFormat="1" applyFont="1" applyFill="1" applyBorder="1" applyAlignment="1">
      <alignment horizontal="center"/>
    </xf>
    <xf numFmtId="196" fontId="28" fillId="2" borderId="14" xfId="2" applyNumberFormat="1" applyFont="1" applyFill="1" applyBorder="1" applyAlignment="1">
      <alignment horizontal="center" vertical="center"/>
    </xf>
    <xf numFmtId="168" fontId="8" fillId="3" borderId="13" xfId="1" applyNumberFormat="1" applyFont="1" applyFill="1" applyBorder="1" applyAlignment="1">
      <alignment horizontal="center"/>
    </xf>
    <xf numFmtId="167" fontId="8" fillId="3" borderId="15" xfId="2" applyNumberFormat="1" applyFont="1" applyFill="1" applyBorder="1" applyAlignment="1">
      <alignment horizontal="center"/>
    </xf>
    <xf numFmtId="195" fontId="8" fillId="3" borderId="15" xfId="2" applyNumberFormat="1" applyFont="1" applyFill="1" applyBorder="1" applyAlignment="1">
      <alignment horizontal="center"/>
    </xf>
    <xf numFmtId="196" fontId="28" fillId="3" borderId="14" xfId="2" applyNumberFormat="1" applyFont="1" applyFill="1" applyBorder="1" applyAlignment="1">
      <alignment horizontal="center" vertical="center"/>
    </xf>
    <xf numFmtId="168" fontId="8" fillId="4" borderId="13" xfId="1" applyNumberFormat="1" applyFont="1" applyFill="1" applyBorder="1" applyAlignment="1">
      <alignment horizontal="center"/>
    </xf>
    <xf numFmtId="167" fontId="8" fillId="4" borderId="15" xfId="2" applyNumberFormat="1" applyFont="1" applyFill="1" applyBorder="1" applyAlignment="1">
      <alignment horizontal="center"/>
    </xf>
    <xf numFmtId="195" fontId="8" fillId="4" borderId="15" xfId="2" applyNumberFormat="1" applyFont="1" applyFill="1" applyBorder="1" applyAlignment="1">
      <alignment horizontal="center"/>
    </xf>
    <xf numFmtId="196" fontId="28" fillId="4" borderId="14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/>
    <xf numFmtId="169" fontId="7" fillId="2" borderId="13" xfId="2" applyNumberFormat="1" applyFont="1" applyFill="1" applyBorder="1" applyAlignment="1">
      <alignment horizontal="center"/>
    </xf>
    <xf numFmtId="192" fontId="8" fillId="2" borderId="15" xfId="2" applyNumberFormat="1" applyFont="1" applyFill="1" applyBorder="1" applyAlignment="1">
      <alignment horizontal="center"/>
    </xf>
    <xf numFmtId="170" fontId="27" fillId="2" borderId="14" xfId="2" applyNumberFormat="1" applyFont="1" applyFill="1" applyBorder="1" applyAlignment="1">
      <alignment horizontal="center" vertical="center"/>
    </xf>
    <xf numFmtId="169" fontId="7" fillId="3" borderId="13" xfId="2" applyNumberFormat="1" applyFont="1" applyFill="1" applyBorder="1" applyAlignment="1">
      <alignment horizontal="center"/>
    </xf>
    <xf numFmtId="192" fontId="8" fillId="3" borderId="15" xfId="2" applyNumberFormat="1" applyFont="1" applyFill="1" applyBorder="1" applyAlignment="1">
      <alignment horizontal="center"/>
    </xf>
    <xf numFmtId="170" fontId="27" fillId="3" borderId="14" xfId="2" applyNumberFormat="1" applyFont="1" applyFill="1" applyBorder="1" applyAlignment="1">
      <alignment horizontal="center" vertical="center"/>
    </xf>
    <xf numFmtId="169" fontId="7" fillId="4" borderId="13" xfId="2" applyNumberFormat="1" applyFont="1" applyFill="1" applyBorder="1" applyAlignment="1">
      <alignment horizontal="center"/>
    </xf>
    <xf numFmtId="192" fontId="8" fillId="4" borderId="15" xfId="2" applyNumberFormat="1" applyFont="1" applyFill="1" applyBorder="1" applyAlignment="1">
      <alignment horizontal="center"/>
    </xf>
    <xf numFmtId="170" fontId="27" fillId="4" borderId="14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 indent="1"/>
    </xf>
    <xf numFmtId="0" fontId="17" fillId="0" borderId="14" xfId="2" applyFont="1" applyFill="1" applyBorder="1" applyAlignment="1">
      <alignment horizontal="left" vertical="center" indent="1"/>
    </xf>
    <xf numFmtId="170" fontId="8" fillId="2" borderId="14" xfId="0" applyNumberFormat="1" applyFont="1" applyFill="1" applyBorder="1" applyAlignment="1">
      <alignment horizontal="center"/>
    </xf>
    <xf numFmtId="170" fontId="8" fillId="3" borderId="14" xfId="0" applyNumberFormat="1" applyFont="1" applyFill="1" applyBorder="1" applyAlignment="1">
      <alignment horizontal="center"/>
    </xf>
    <xf numFmtId="170" fontId="8" fillId="4" borderId="14" xfId="0" applyNumberFormat="1" applyFont="1" applyFill="1" applyBorder="1" applyAlignment="1">
      <alignment horizontal="center"/>
    </xf>
    <xf numFmtId="169" fontId="7" fillId="5" borderId="49" xfId="2" applyNumberFormat="1" applyFont="1" applyFill="1" applyBorder="1" applyAlignment="1">
      <alignment horizontal="center"/>
    </xf>
    <xf numFmtId="0" fontId="7" fillId="6" borderId="49" xfId="0" applyFont="1" applyFill="1" applyBorder="1" applyAlignment="1">
      <alignment vertical="center"/>
    </xf>
    <xf numFmtId="0" fontId="2" fillId="0" borderId="13" xfId="2" applyBorder="1"/>
    <xf numFmtId="0" fontId="2" fillId="0" borderId="15" xfId="2" applyBorder="1"/>
    <xf numFmtId="0" fontId="2" fillId="0" borderId="14" xfId="2" applyBorder="1"/>
    <xf numFmtId="169" fontId="8" fillId="2" borderId="13" xfId="2" applyNumberFormat="1" applyFont="1" applyFill="1" applyBorder="1" applyAlignment="1">
      <alignment horizontal="center"/>
    </xf>
    <xf numFmtId="169" fontId="8" fillId="2" borderId="15" xfId="2" applyNumberFormat="1" applyFont="1" applyFill="1" applyBorder="1" applyAlignment="1">
      <alignment horizontal="center"/>
    </xf>
    <xf numFmtId="169" fontId="8" fillId="2" borderId="14" xfId="2" applyNumberFormat="1" applyFont="1" applyFill="1" applyBorder="1" applyAlignment="1">
      <alignment horizontal="center"/>
    </xf>
    <xf numFmtId="169" fontId="8" fillId="3" borderId="13" xfId="2" applyNumberFormat="1" applyFont="1" applyFill="1" applyBorder="1" applyAlignment="1">
      <alignment horizontal="center"/>
    </xf>
    <xf numFmtId="169" fontId="8" fillId="3" borderId="15" xfId="2" applyNumberFormat="1" applyFont="1" applyFill="1" applyBorder="1" applyAlignment="1">
      <alignment horizontal="center"/>
    </xf>
    <xf numFmtId="169" fontId="8" fillId="3" borderId="14" xfId="2" applyNumberFormat="1" applyFont="1" applyFill="1" applyBorder="1" applyAlignment="1">
      <alignment horizontal="center"/>
    </xf>
    <xf numFmtId="169" fontId="8" fillId="4" borderId="13" xfId="2" applyNumberFormat="1" applyFont="1" applyFill="1" applyBorder="1" applyAlignment="1">
      <alignment horizontal="center"/>
    </xf>
    <xf numFmtId="169" fontId="8" fillId="4" borderId="15" xfId="2" applyNumberFormat="1" applyFont="1" applyFill="1" applyBorder="1" applyAlignment="1">
      <alignment horizontal="center"/>
    </xf>
    <xf numFmtId="169" fontId="8" fillId="4" borderId="14" xfId="2" applyNumberFormat="1" applyFont="1" applyFill="1" applyBorder="1" applyAlignment="1">
      <alignment horizontal="center"/>
    </xf>
    <xf numFmtId="194" fontId="27" fillId="2" borderId="52" xfId="0" applyNumberFormat="1" applyFont="1" applyFill="1" applyBorder="1" applyAlignment="1">
      <alignment horizontal="center"/>
    </xf>
    <xf numFmtId="197" fontId="27" fillId="2" borderId="15" xfId="2" applyNumberFormat="1" applyFont="1" applyFill="1" applyBorder="1" applyAlignment="1">
      <alignment horizontal="center"/>
    </xf>
    <xf numFmtId="194" fontId="27" fillId="3" borderId="52" xfId="0" applyNumberFormat="1" applyFont="1" applyFill="1" applyBorder="1" applyAlignment="1">
      <alignment horizontal="center"/>
    </xf>
    <xf numFmtId="197" fontId="27" fillId="3" borderId="15" xfId="2" applyNumberFormat="1" applyFont="1" applyFill="1" applyBorder="1" applyAlignment="1">
      <alignment horizontal="center"/>
    </xf>
    <xf numFmtId="194" fontId="27" fillId="4" borderId="52" xfId="0" applyNumberFormat="1" applyFont="1" applyFill="1" applyBorder="1" applyAlignment="1">
      <alignment horizontal="center"/>
    </xf>
    <xf numFmtId="197" fontId="27" fillId="4" borderId="15" xfId="2" applyNumberFormat="1" applyFont="1" applyFill="1" applyBorder="1" applyAlignment="1">
      <alignment horizontal="center"/>
    </xf>
    <xf numFmtId="0" fontId="2" fillId="0" borderId="13" xfId="2" applyFont="1" applyBorder="1"/>
    <xf numFmtId="0" fontId="2" fillId="0" borderId="14" xfId="2" applyFont="1" applyBorder="1"/>
    <xf numFmtId="0" fontId="2" fillId="0" borderId="49" xfId="2" applyFont="1" applyBorder="1"/>
    <xf numFmtId="166" fontId="7" fillId="2" borderId="13" xfId="2" applyNumberFormat="1" applyFont="1" applyFill="1" applyBorder="1" applyAlignment="1">
      <alignment horizontal="center"/>
    </xf>
    <xf numFmtId="166" fontId="8" fillId="2" borderId="15" xfId="2" applyNumberFormat="1" applyFont="1" applyFill="1" applyBorder="1" applyAlignment="1">
      <alignment horizontal="center"/>
    </xf>
    <xf numFmtId="166" fontId="7" fillId="2" borderId="14" xfId="2" applyNumberFormat="1" applyFont="1" applyFill="1" applyBorder="1" applyAlignment="1">
      <alignment horizontal="center"/>
    </xf>
    <xf numFmtId="166" fontId="7" fillId="2" borderId="49" xfId="2" applyNumberFormat="1" applyFont="1" applyFill="1" applyBorder="1" applyAlignment="1">
      <alignment horizontal="center"/>
    </xf>
    <xf numFmtId="166" fontId="7" fillId="3" borderId="13" xfId="2" applyNumberFormat="1" applyFont="1" applyFill="1" applyBorder="1" applyAlignment="1">
      <alignment horizontal="center"/>
    </xf>
    <xf numFmtId="166" fontId="8" fillId="3" borderId="15" xfId="2" applyNumberFormat="1" applyFont="1" applyFill="1" applyBorder="1" applyAlignment="1">
      <alignment horizontal="center"/>
    </xf>
    <xf numFmtId="166" fontId="7" fillId="3" borderId="14" xfId="2" applyNumberFormat="1" applyFont="1" applyFill="1" applyBorder="1" applyAlignment="1">
      <alignment horizontal="center"/>
    </xf>
    <xf numFmtId="166" fontId="7" fillId="3" borderId="49" xfId="2" applyNumberFormat="1" applyFont="1" applyFill="1" applyBorder="1" applyAlignment="1">
      <alignment horizontal="center"/>
    </xf>
    <xf numFmtId="166" fontId="7" fillId="4" borderId="13" xfId="2" applyNumberFormat="1" applyFont="1" applyFill="1" applyBorder="1" applyAlignment="1">
      <alignment horizontal="center"/>
    </xf>
    <xf numFmtId="166" fontId="8" fillId="4" borderId="15" xfId="2" applyNumberFormat="1" applyFont="1" applyFill="1" applyBorder="1" applyAlignment="1">
      <alignment horizontal="center"/>
    </xf>
    <xf numFmtId="166" fontId="7" fillId="4" borderId="14" xfId="2" applyNumberFormat="1" applyFont="1" applyFill="1" applyBorder="1" applyAlignment="1">
      <alignment horizontal="center"/>
    </xf>
    <xf numFmtId="166" fontId="7" fillId="4" borderId="49" xfId="2" applyNumberFormat="1" applyFont="1" applyFill="1" applyBorder="1" applyAlignment="1">
      <alignment horizontal="center"/>
    </xf>
    <xf numFmtId="200" fontId="27" fillId="2" borderId="14" xfId="2" applyNumberFormat="1" applyFont="1" applyFill="1" applyBorder="1" applyAlignment="1">
      <alignment horizontal="center"/>
    </xf>
    <xf numFmtId="200" fontId="2" fillId="0" borderId="0" xfId="2" applyNumberFormat="1" applyFont="1"/>
    <xf numFmtId="200" fontId="27" fillId="3" borderId="14" xfId="2" applyNumberFormat="1" applyFont="1" applyFill="1" applyBorder="1" applyAlignment="1">
      <alignment horizontal="center"/>
    </xf>
    <xf numFmtId="200" fontId="2" fillId="0" borderId="0" xfId="2" applyNumberFormat="1" applyFont="1" applyFill="1"/>
    <xf numFmtId="200" fontId="27" fillId="4" borderId="14" xfId="2" applyNumberFormat="1" applyFont="1" applyFill="1" applyBorder="1" applyAlignment="1">
      <alignment horizontal="center"/>
    </xf>
    <xf numFmtId="0" fontId="2" fillId="0" borderId="50" xfId="2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/>
    </xf>
    <xf numFmtId="0" fontId="7" fillId="6" borderId="48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" fillId="0" borderId="15" xfId="2" applyBorder="1" applyAlignment="1">
      <alignment horizontal="left" vertical="center" wrapText="1"/>
    </xf>
    <xf numFmtId="0" fontId="2" fillId="0" borderId="14" xfId="2" applyBorder="1" applyAlignment="1">
      <alignment horizontal="left" vertical="center"/>
    </xf>
    <xf numFmtId="0" fontId="2" fillId="0" borderId="50" xfId="2" applyBorder="1" applyAlignment="1">
      <alignment horizontal="left" vertical="center" wrapText="1"/>
    </xf>
    <xf numFmtId="0" fontId="2" fillId="0" borderId="48" xfId="2" applyBorder="1" applyAlignment="1">
      <alignment horizontal="left" vertical="center" wrapText="1"/>
    </xf>
    <xf numFmtId="0" fontId="2" fillId="0" borderId="51" xfId="2" applyBorder="1" applyAlignment="1">
      <alignment horizontal="left" vertical="center" wrapText="1"/>
    </xf>
    <xf numFmtId="4" fontId="7" fillId="5" borderId="10" xfId="0" applyNumberFormat="1" applyFont="1" applyFill="1" applyBorder="1" applyAlignment="1">
      <alignment horizontal="left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2" xfId="0" applyBorder="1" applyAlignment="1">
      <alignment horizontal="left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1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2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15" fillId="0" borderId="4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3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</cellXfs>
  <cellStyles count="13">
    <cellStyle name="Heading" xfId="3" xr:uid="{00000000-0005-0000-0000-000000000000}"/>
    <cellStyle name="Heading 2" xfId="8" xr:uid="{00000000-0005-0000-0000-000001000000}"/>
    <cellStyle name="Heading1" xfId="4" xr:uid="{00000000-0005-0000-0000-000002000000}"/>
    <cellStyle name="Heading1 2" xfId="9" xr:uid="{00000000-0005-0000-0000-000003000000}"/>
    <cellStyle name="Prozent" xfId="1" builtinId="5"/>
    <cellStyle name="Prozent 2" xfId="12" xr:uid="{00000000-0005-0000-0000-000005000000}"/>
    <cellStyle name="Result" xfId="5" xr:uid="{00000000-0005-0000-0000-000006000000}"/>
    <cellStyle name="Result 2" xfId="10" xr:uid="{00000000-0005-0000-0000-000007000000}"/>
    <cellStyle name="Result2" xfId="6" xr:uid="{00000000-0005-0000-0000-000008000000}"/>
    <cellStyle name="Result2 2" xfId="11" xr:uid="{00000000-0005-0000-0000-000009000000}"/>
    <cellStyle name="Standard" xfId="0" builtinId="0"/>
    <cellStyle name="Standard 2" xfId="2" xr:uid="{00000000-0005-0000-0000-00000B000000}"/>
    <cellStyle name="Standard 3" xfId="7" xr:uid="{00000000-0005-0000-0000-00000C000000}"/>
  </cellStyles>
  <dxfs count="0"/>
  <tableStyles count="0" defaultTableStyle="TableStyleMedium2" defaultPivotStyle="PivotStyleLight16"/>
  <colors>
    <mruColors>
      <color rgb="FF6441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66675</xdr:rowOff>
    </xdr:from>
    <xdr:to>
      <xdr:col>18</xdr:col>
      <xdr:colOff>571500</xdr:colOff>
      <xdr:row>23</xdr:row>
      <xdr:rowOff>12153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B71B75-0FB4-40A7-8603-2F07D0690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266700"/>
          <a:ext cx="6400800" cy="4193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7"/>
  <sheetViews>
    <sheetView tabSelected="1" topLeftCell="A37" zoomScaleNormal="100" workbookViewId="0">
      <selection activeCell="F65" sqref="F65"/>
    </sheetView>
  </sheetViews>
  <sheetFormatPr baseColWidth="10" defaultRowHeight="15" x14ac:dyDescent="0.25"/>
  <cols>
    <col min="1" max="1" width="5.7109375" customWidth="1"/>
    <col min="2" max="2" width="44.7109375" customWidth="1"/>
    <col min="3" max="3" width="3.28515625" customWidth="1"/>
    <col min="4" max="4" width="15" bestFit="1" customWidth="1"/>
    <col min="5" max="5" width="3.28515625" customWidth="1"/>
    <col min="6" max="6" width="14.85546875" bestFit="1" customWidth="1"/>
    <col min="7" max="7" width="3.28515625" customWidth="1"/>
    <col min="8" max="8" width="13.7109375" bestFit="1" customWidth="1"/>
    <col min="9" max="9" width="3.28515625" customWidth="1"/>
    <col min="10" max="10" width="13.7109375" bestFit="1" customWidth="1"/>
    <col min="11" max="11" width="3.28515625" customWidth="1"/>
    <col min="12" max="12" width="13.85546875" bestFit="1" customWidth="1"/>
    <col min="13" max="13" width="3.28515625" customWidth="1"/>
    <col min="14" max="14" width="14.85546875" bestFit="1" customWidth="1"/>
    <col min="15" max="15" width="3.28515625" style="21" customWidth="1"/>
    <col min="16" max="16" width="14.85546875" style="21" bestFit="1" customWidth="1"/>
  </cols>
  <sheetData>
    <row r="1" spans="2:16" ht="15.75" thickBot="1" x14ac:dyDescent="0.3"/>
    <row r="2" spans="2:16" ht="21" customHeight="1" x14ac:dyDescent="0.25">
      <c r="B2" s="369" t="s">
        <v>214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1"/>
    </row>
    <row r="3" spans="2:16" ht="21" customHeight="1" thickBot="1" x14ac:dyDescent="0.3"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</row>
    <row r="4" spans="2:16" ht="21" customHeight="1" thickBot="1" x14ac:dyDescent="0.3">
      <c r="B4" s="263" t="s">
        <v>213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x14ac:dyDescent="0.25">
      <c r="B5" s="8" t="s">
        <v>8</v>
      </c>
      <c r="D5" s="30">
        <v>1</v>
      </c>
      <c r="F5" s="30">
        <v>2</v>
      </c>
      <c r="H5" s="30">
        <v>3</v>
      </c>
      <c r="J5" s="31">
        <v>4</v>
      </c>
      <c r="K5" s="16"/>
      <c r="L5" s="31">
        <v>5</v>
      </c>
      <c r="N5" s="32">
        <v>6</v>
      </c>
      <c r="P5" s="32">
        <v>7</v>
      </c>
    </row>
    <row r="6" spans="2:16" ht="15.75" thickBot="1" x14ac:dyDescent="0.3">
      <c r="B6" s="29" t="s">
        <v>7</v>
      </c>
      <c r="C6" s="1"/>
      <c r="D6" s="270">
        <v>100</v>
      </c>
      <c r="E6" s="19"/>
      <c r="F6" s="270">
        <v>150</v>
      </c>
      <c r="G6" s="19"/>
      <c r="H6" s="270">
        <v>200</v>
      </c>
      <c r="I6" s="19"/>
      <c r="J6" s="271">
        <v>250</v>
      </c>
      <c r="K6" s="20"/>
      <c r="L6" s="271">
        <v>300</v>
      </c>
      <c r="M6" s="19"/>
      <c r="N6" s="272">
        <v>340</v>
      </c>
      <c r="O6" s="19"/>
      <c r="P6" s="272">
        <v>510</v>
      </c>
    </row>
    <row r="7" spans="2:16" ht="15.75" thickBot="1" x14ac:dyDescent="0.3">
      <c r="B7" s="1"/>
      <c r="C7" s="1"/>
      <c r="D7" s="10"/>
      <c r="E7" s="1"/>
      <c r="F7" s="10"/>
      <c r="G7" s="1"/>
      <c r="H7" s="10"/>
      <c r="I7" s="1"/>
      <c r="J7" s="10"/>
      <c r="K7" s="2"/>
      <c r="L7" s="10"/>
      <c r="M7" s="1"/>
      <c r="N7" s="10"/>
      <c r="O7" s="1"/>
      <c r="P7" s="10"/>
    </row>
    <row r="8" spans="2:16" x14ac:dyDescent="0.25">
      <c r="B8" s="274" t="s">
        <v>215</v>
      </c>
      <c r="C8" s="1"/>
      <c r="D8" s="277">
        <f>'Kapital- &amp; Betriebsgeb. Kosten'!B21</f>
        <v>8</v>
      </c>
      <c r="E8" s="1"/>
      <c r="F8" s="277">
        <f>'Kapital- &amp; Betriebsgeb. Kosten'!C21</f>
        <v>12</v>
      </c>
      <c r="G8" s="1"/>
      <c r="H8" s="277">
        <f>'Kapital- &amp; Betriebsgeb. Kosten'!D21</f>
        <v>16</v>
      </c>
      <c r="I8" s="1"/>
      <c r="J8" s="280">
        <f>'Kapital- &amp; Betriebsgeb. Kosten'!E21</f>
        <v>19</v>
      </c>
      <c r="K8" s="2"/>
      <c r="L8" s="280">
        <f>'Kapital- &amp; Betriebsgeb. Kosten'!F21</f>
        <v>23</v>
      </c>
      <c r="M8" s="1"/>
      <c r="N8" s="283">
        <f>'Kapital- &amp; Betriebsgeb. Kosten'!G21</f>
        <v>25</v>
      </c>
      <c r="O8" s="1"/>
      <c r="P8" s="283">
        <f>'Kapital- &amp; Betriebsgeb. Kosten'!H21</f>
        <v>38</v>
      </c>
    </row>
    <row r="9" spans="2:16" s="21" customFormat="1" x14ac:dyDescent="0.25">
      <c r="B9" s="275" t="s">
        <v>73</v>
      </c>
      <c r="C9" s="22"/>
      <c r="D9" s="278">
        <f>D8*1000/D6</f>
        <v>80</v>
      </c>
      <c r="E9" s="22"/>
      <c r="F9" s="278">
        <f>F8*1000/F6</f>
        <v>80</v>
      </c>
      <c r="G9" s="22"/>
      <c r="H9" s="278">
        <f>H8*1000/H6</f>
        <v>80</v>
      </c>
      <c r="I9" s="22"/>
      <c r="J9" s="281">
        <v>77</v>
      </c>
      <c r="K9" s="27"/>
      <c r="L9" s="281">
        <v>77</v>
      </c>
      <c r="M9" s="28"/>
      <c r="N9" s="284">
        <v>75</v>
      </c>
      <c r="O9" s="28"/>
      <c r="P9" s="284">
        <v>75</v>
      </c>
    </row>
    <row r="10" spans="2:16" ht="15.75" thickBot="1" x14ac:dyDescent="0.3">
      <c r="B10" s="276" t="s">
        <v>11</v>
      </c>
      <c r="C10" s="1"/>
      <c r="D10" s="279">
        <f>'Kapital- &amp; Betriebsgeb. Kosten'!B14</f>
        <v>1800</v>
      </c>
      <c r="E10" s="56"/>
      <c r="F10" s="279">
        <f>'Kapital- &amp; Betriebsgeb. Kosten'!C14</f>
        <v>1800</v>
      </c>
      <c r="G10" s="56"/>
      <c r="H10" s="279">
        <f>'Kapital- &amp; Betriebsgeb. Kosten'!D14</f>
        <v>1800</v>
      </c>
      <c r="I10" s="56"/>
      <c r="J10" s="282">
        <f>'Kapital- &amp; Betriebsgeb. Kosten'!E14</f>
        <v>1850</v>
      </c>
      <c r="K10" s="57"/>
      <c r="L10" s="282">
        <f>'Kapital- &amp; Betriebsgeb. Kosten'!F14</f>
        <v>1850</v>
      </c>
      <c r="M10" s="56"/>
      <c r="N10" s="285">
        <f>'Kapital- &amp; Betriebsgeb. Kosten'!G14</f>
        <v>1900</v>
      </c>
      <c r="O10" s="56"/>
      <c r="P10" s="285">
        <f>'Kapital- &amp; Betriebsgeb. Kosten'!H14</f>
        <v>1900</v>
      </c>
    </row>
    <row r="11" spans="2:16" ht="15.75" thickBot="1" x14ac:dyDescent="0.3">
      <c r="B11" s="1"/>
      <c r="C11" s="1"/>
      <c r="D11" s="11"/>
      <c r="E11" s="1"/>
      <c r="F11" s="11"/>
      <c r="G11" s="1"/>
      <c r="H11" s="11"/>
      <c r="I11" s="1"/>
      <c r="J11" s="11"/>
      <c r="K11" s="2"/>
      <c r="L11" s="11"/>
      <c r="M11" s="1"/>
      <c r="N11" s="11"/>
      <c r="O11" s="1"/>
      <c r="P11" s="11"/>
    </row>
    <row r="12" spans="2:16" ht="15.75" thickBot="1" x14ac:dyDescent="0.3">
      <c r="B12" s="292" t="s">
        <v>0</v>
      </c>
      <c r="C12" s="1"/>
      <c r="D12" s="293">
        <f>D8*D10</f>
        <v>14400</v>
      </c>
      <c r="E12" s="1"/>
      <c r="F12" s="293">
        <f>F8*F10</f>
        <v>21600</v>
      </c>
      <c r="G12" s="1"/>
      <c r="H12" s="293">
        <f>H8*H10</f>
        <v>28800</v>
      </c>
      <c r="I12" s="1"/>
      <c r="J12" s="294">
        <f>J8*J10</f>
        <v>35150</v>
      </c>
      <c r="K12" s="2"/>
      <c r="L12" s="294">
        <f>L8*L10</f>
        <v>42550</v>
      </c>
      <c r="M12" s="1"/>
      <c r="N12" s="295">
        <f>N8*N10</f>
        <v>47500</v>
      </c>
      <c r="O12" s="1"/>
      <c r="P12" s="295">
        <f>P8*P10</f>
        <v>72200</v>
      </c>
    </row>
    <row r="13" spans="2:16" ht="15.75" thickBot="1" x14ac:dyDescent="0.3">
      <c r="B13" s="3"/>
      <c r="C13" s="1"/>
      <c r="D13" s="12"/>
      <c r="E13" s="1"/>
      <c r="F13" s="12"/>
      <c r="G13" s="1"/>
      <c r="H13" s="12"/>
      <c r="I13" s="1"/>
      <c r="J13" s="12"/>
      <c r="K13" s="2"/>
      <c r="L13" s="12"/>
      <c r="M13" s="1"/>
      <c r="N13" s="12"/>
      <c r="O13" s="1"/>
      <c r="P13" s="12"/>
    </row>
    <row r="14" spans="2:16" x14ac:dyDescent="0.25">
      <c r="B14" s="296" t="s">
        <v>1</v>
      </c>
      <c r="C14" s="1"/>
      <c r="D14" s="298">
        <v>0.78</v>
      </c>
      <c r="E14" s="1"/>
      <c r="F14" s="298">
        <v>0.78</v>
      </c>
      <c r="G14" s="1"/>
      <c r="H14" s="298">
        <v>0.78</v>
      </c>
      <c r="I14" s="1"/>
      <c r="J14" s="302">
        <v>0.78</v>
      </c>
      <c r="K14" s="2"/>
      <c r="L14" s="302">
        <v>0.78</v>
      </c>
      <c r="M14" s="1"/>
      <c r="N14" s="306">
        <v>0.78</v>
      </c>
      <c r="O14" s="1"/>
      <c r="P14" s="306">
        <v>0.78</v>
      </c>
    </row>
    <row r="15" spans="2:16" x14ac:dyDescent="0.25">
      <c r="B15" s="297" t="s">
        <v>219</v>
      </c>
      <c r="C15" s="1"/>
      <c r="D15" s="299">
        <f>D12/D14</f>
        <v>18461.538461538461</v>
      </c>
      <c r="E15" s="1"/>
      <c r="F15" s="299">
        <f>F12/F14</f>
        <v>27692.307692307691</v>
      </c>
      <c r="G15" s="1"/>
      <c r="H15" s="299">
        <f>H12/H14</f>
        <v>36923.076923076922</v>
      </c>
      <c r="I15" s="1"/>
      <c r="J15" s="303">
        <f>J12/J14</f>
        <v>45064.102564102563</v>
      </c>
      <c r="K15" s="2"/>
      <c r="L15" s="303">
        <f>L12/L14</f>
        <v>54551.282051282047</v>
      </c>
      <c r="M15" s="1"/>
      <c r="N15" s="307">
        <f>N12/N14</f>
        <v>60897.435897435898</v>
      </c>
      <c r="O15" s="1"/>
      <c r="P15" s="307">
        <f>P12/P14</f>
        <v>92564.102564102563</v>
      </c>
    </row>
    <row r="16" spans="2:16" s="21" customFormat="1" x14ac:dyDescent="0.25">
      <c r="B16" s="375" t="s">
        <v>237</v>
      </c>
      <c r="C16" s="1"/>
      <c r="D16" s="300">
        <f>D15/D17</f>
        <v>13.797861331493618</v>
      </c>
      <c r="E16" s="1"/>
      <c r="F16" s="300">
        <f>F15/F17</f>
        <v>20.696791997240428</v>
      </c>
      <c r="G16" s="1"/>
      <c r="H16" s="300">
        <f>H15/H17</f>
        <v>27.595722662987235</v>
      </c>
      <c r="I16" s="1"/>
      <c r="J16" s="304">
        <f>J15/J17</f>
        <v>33.680196236250048</v>
      </c>
      <c r="K16" s="2"/>
      <c r="L16" s="304">
        <f>L15/L17</f>
        <v>40.770763864934267</v>
      </c>
      <c r="M16" s="1"/>
      <c r="N16" s="308">
        <f>N15/N17</f>
        <v>45.513778697635203</v>
      </c>
      <c r="O16" s="1"/>
      <c r="P16" s="308">
        <f>P15/P17</f>
        <v>69.1809436204055</v>
      </c>
    </row>
    <row r="17" spans="2:16" s="21" customFormat="1" ht="15.75" thickBot="1" x14ac:dyDescent="0.3">
      <c r="B17" s="376"/>
      <c r="C17" s="1"/>
      <c r="D17" s="301">
        <f>(Daten!$D$7*0.5+Daten!$D$8*0.5)</f>
        <v>1338</v>
      </c>
      <c r="E17" s="1"/>
      <c r="F17" s="301">
        <f>(Daten!$D$7*0.5+Daten!$D$8*0.5)</f>
        <v>1338</v>
      </c>
      <c r="G17" s="1"/>
      <c r="H17" s="301">
        <f>(Daten!$D$7*0.5+Daten!$D$8*0.5)</f>
        <v>1338</v>
      </c>
      <c r="I17" s="1"/>
      <c r="J17" s="305">
        <f>(Daten!$D$7*0.5+Daten!$D$8*0.5)</f>
        <v>1338</v>
      </c>
      <c r="K17" s="2"/>
      <c r="L17" s="305">
        <f>(Daten!$D$7*0.5+Daten!$D$8*0.5)</f>
        <v>1338</v>
      </c>
      <c r="M17" s="1"/>
      <c r="N17" s="309">
        <f>(Daten!$D$7*0.5+Daten!$D$8*0.5)</f>
        <v>1338</v>
      </c>
      <c r="O17" s="1"/>
      <c r="P17" s="309">
        <f>(Daten!$D$7*0.5+Daten!$D$8*0.5)</f>
        <v>1338</v>
      </c>
    </row>
    <row r="18" spans="2:16" s="21" customFormat="1" ht="15.75" thickBot="1" x14ac:dyDescent="0.3">
      <c r="B18" s="3"/>
      <c r="C18" s="1"/>
      <c r="D18" s="12"/>
      <c r="E18" s="1"/>
      <c r="F18" s="12"/>
      <c r="G18" s="1"/>
      <c r="H18" s="12"/>
      <c r="I18" s="1"/>
      <c r="J18" s="12"/>
      <c r="K18" s="2"/>
      <c r="L18" s="12"/>
      <c r="M18" s="1"/>
      <c r="N18" s="12"/>
      <c r="O18" s="1"/>
      <c r="P18" s="12"/>
    </row>
    <row r="19" spans="2:16" x14ac:dyDescent="0.25">
      <c r="B19" s="310" t="s">
        <v>75</v>
      </c>
      <c r="C19" s="26"/>
      <c r="D19" s="311">
        <f>D20*D16</f>
        <v>827.8716798896171</v>
      </c>
      <c r="E19" s="35"/>
      <c r="F19" s="311">
        <f>F20*F16</f>
        <v>1241.8075198344256</v>
      </c>
      <c r="G19" s="35"/>
      <c r="H19" s="311">
        <f>H20*H16</f>
        <v>1655.7433597792342</v>
      </c>
      <c r="I19" s="35"/>
      <c r="J19" s="314">
        <f>J20*J16</f>
        <v>2020.8117741750029</v>
      </c>
      <c r="K19" s="10"/>
      <c r="L19" s="314">
        <f>L20*L16</f>
        <v>2446.2458318960562</v>
      </c>
      <c r="M19" s="35"/>
      <c r="N19" s="317">
        <f>N20*N16</f>
        <v>2730.8267218581123</v>
      </c>
      <c r="O19" s="35"/>
      <c r="P19" s="317">
        <f>P20*P16</f>
        <v>4150.85661722433</v>
      </c>
    </row>
    <row r="20" spans="2:16" x14ac:dyDescent="0.25">
      <c r="B20" s="377" t="s">
        <v>239</v>
      </c>
      <c r="C20" s="1"/>
      <c r="D20" s="312">
        <v>60</v>
      </c>
      <c r="E20" s="1"/>
      <c r="F20" s="312">
        <f>D20</f>
        <v>60</v>
      </c>
      <c r="G20" s="1"/>
      <c r="H20" s="312">
        <f>F20</f>
        <v>60</v>
      </c>
      <c r="I20" s="1"/>
      <c r="J20" s="315">
        <f>H20</f>
        <v>60</v>
      </c>
      <c r="K20" s="2"/>
      <c r="L20" s="315">
        <f>J20</f>
        <v>60</v>
      </c>
      <c r="M20" s="1"/>
      <c r="N20" s="318">
        <f>L20</f>
        <v>60</v>
      </c>
      <c r="O20" s="1"/>
      <c r="P20" s="318">
        <f>N20</f>
        <v>60</v>
      </c>
    </row>
    <row r="21" spans="2:16" s="21" customFormat="1" ht="15.75" thickBot="1" x14ac:dyDescent="0.3">
      <c r="B21" s="378"/>
      <c r="C21" s="1"/>
      <c r="D21" s="313">
        <f>D20*100/D17</f>
        <v>4.4843049327354256</v>
      </c>
      <c r="E21" s="268"/>
      <c r="F21" s="313">
        <f>D21</f>
        <v>4.4843049327354256</v>
      </c>
      <c r="G21" s="268"/>
      <c r="H21" s="313">
        <f>F21</f>
        <v>4.4843049327354256</v>
      </c>
      <c r="I21" s="268"/>
      <c r="J21" s="316">
        <f>H21</f>
        <v>4.4843049327354256</v>
      </c>
      <c r="K21" s="269"/>
      <c r="L21" s="316">
        <f>J21</f>
        <v>4.4843049327354256</v>
      </c>
      <c r="M21" s="268"/>
      <c r="N21" s="319">
        <f>L21</f>
        <v>4.4843049327354256</v>
      </c>
      <c r="O21" s="268"/>
      <c r="P21" s="319">
        <f>N21</f>
        <v>4.4843049327354256</v>
      </c>
    </row>
    <row r="22" spans="2:16" ht="15.75" thickBot="1" x14ac:dyDescent="0.3"/>
    <row r="23" spans="2:16" s="21" customFormat="1" x14ac:dyDescent="0.25">
      <c r="B23" s="274" t="s">
        <v>225</v>
      </c>
      <c r="C23" s="264"/>
      <c r="D23" s="311">
        <f>D24*D25</f>
        <v>34.494653328734046</v>
      </c>
      <c r="E23" s="264"/>
      <c r="F23" s="311">
        <f>F24*F25</f>
        <v>51.741979993101069</v>
      </c>
      <c r="G23" s="264"/>
      <c r="H23" s="311">
        <f>H24*H25</f>
        <v>68.989306657468092</v>
      </c>
      <c r="I23" s="264"/>
      <c r="J23" s="314">
        <f>J24*J25</f>
        <v>84.200490590625122</v>
      </c>
      <c r="K23" s="265"/>
      <c r="L23" s="314">
        <f>L24*L25</f>
        <v>101.92690966233567</v>
      </c>
      <c r="M23" s="264"/>
      <c r="N23" s="317">
        <f>N24*N25</f>
        <v>113.784446744088</v>
      </c>
      <c r="O23" s="264"/>
      <c r="P23" s="317">
        <f>P24*P25</f>
        <v>172.95235905101376</v>
      </c>
    </row>
    <row r="24" spans="2:16" s="21" customFormat="1" x14ac:dyDescent="0.25">
      <c r="B24" s="366" t="s">
        <v>240</v>
      </c>
      <c r="C24" s="1"/>
      <c r="D24" s="340">
        <f>D16</f>
        <v>13.797861331493618</v>
      </c>
      <c r="E24" s="22"/>
      <c r="F24" s="340">
        <f>F16</f>
        <v>20.696791997240428</v>
      </c>
      <c r="G24" s="22"/>
      <c r="H24" s="340">
        <f>H16</f>
        <v>27.595722662987235</v>
      </c>
      <c r="I24" s="22"/>
      <c r="J24" s="342">
        <f>J16</f>
        <v>33.680196236250048</v>
      </c>
      <c r="K24" s="23"/>
      <c r="L24" s="342">
        <f>L16</f>
        <v>40.770763864934267</v>
      </c>
      <c r="M24" s="22"/>
      <c r="N24" s="344">
        <f>N16</f>
        <v>45.513778697635203</v>
      </c>
      <c r="O24" s="22"/>
      <c r="P24" s="344">
        <f>P16</f>
        <v>69.1809436204055</v>
      </c>
    </row>
    <row r="25" spans="2:16" s="21" customFormat="1" ht="15.75" thickBot="1" x14ac:dyDescent="0.3">
      <c r="B25" s="330" t="s">
        <v>226</v>
      </c>
      <c r="C25" s="1"/>
      <c r="D25" s="361">
        <v>2.5</v>
      </c>
      <c r="E25" s="362"/>
      <c r="F25" s="361">
        <f>D25</f>
        <v>2.5</v>
      </c>
      <c r="G25" s="362"/>
      <c r="H25" s="361">
        <f>F25</f>
        <v>2.5</v>
      </c>
      <c r="I25" s="362"/>
      <c r="J25" s="363">
        <f>H25</f>
        <v>2.5</v>
      </c>
      <c r="K25" s="364"/>
      <c r="L25" s="363">
        <f>J25</f>
        <v>2.5</v>
      </c>
      <c r="M25" s="362"/>
      <c r="N25" s="365">
        <f>L25</f>
        <v>2.5</v>
      </c>
      <c r="O25" s="362"/>
      <c r="P25" s="365">
        <f>N25</f>
        <v>2.5</v>
      </c>
    </row>
    <row r="26" spans="2:16" s="21" customFormat="1" ht="15.75" thickBot="1" x14ac:dyDescent="0.3"/>
    <row r="27" spans="2:16" x14ac:dyDescent="0.25">
      <c r="B27" s="320" t="s">
        <v>218</v>
      </c>
      <c r="C27" s="1"/>
      <c r="D27" s="311">
        <f>(D28*D29)/100</f>
        <v>58.881600000000006</v>
      </c>
      <c r="E27" s="264"/>
      <c r="F27" s="311">
        <f>(F28*F29)/100</f>
        <v>88.322400000000002</v>
      </c>
      <c r="G27" s="264"/>
      <c r="H27" s="311">
        <f>(H28*H29)/100</f>
        <v>117.76320000000001</v>
      </c>
      <c r="I27" s="264"/>
      <c r="J27" s="314">
        <f>(J28*J29)/100</f>
        <v>143.72835000000001</v>
      </c>
      <c r="K27" s="265"/>
      <c r="L27" s="314">
        <f>(L28*L29)/100</f>
        <v>173.98695000000001</v>
      </c>
      <c r="M27" s="264"/>
      <c r="N27" s="317">
        <f>(N28*N29)/100</f>
        <v>194.22749999999999</v>
      </c>
      <c r="O27" s="264"/>
      <c r="P27" s="317">
        <f>(P28*P29)/100</f>
        <v>295.22579999999999</v>
      </c>
    </row>
    <row r="28" spans="2:16" x14ac:dyDescent="0.25">
      <c r="B28" s="321" t="s">
        <v>216</v>
      </c>
      <c r="C28" s="1"/>
      <c r="D28" s="299">
        <f>D12*0.015</f>
        <v>216</v>
      </c>
      <c r="E28" s="1"/>
      <c r="F28" s="299">
        <f>F12*0.015</f>
        <v>324</v>
      </c>
      <c r="G28" s="1"/>
      <c r="H28" s="299">
        <f>H12*0.015</f>
        <v>432</v>
      </c>
      <c r="I28" s="1"/>
      <c r="J28" s="303">
        <f>J12*0.015</f>
        <v>527.25</v>
      </c>
      <c r="K28" s="2"/>
      <c r="L28" s="303">
        <f>L12*0.015</f>
        <v>638.25</v>
      </c>
      <c r="M28" s="1"/>
      <c r="N28" s="307">
        <f>N12*0.015</f>
        <v>712.5</v>
      </c>
      <c r="O28" s="1"/>
      <c r="P28" s="307">
        <f>P12*0.015</f>
        <v>1083</v>
      </c>
    </row>
    <row r="29" spans="2:16" ht="15.75" thickBot="1" x14ac:dyDescent="0.3">
      <c r="B29" s="322" t="s">
        <v>217</v>
      </c>
      <c r="C29" s="1"/>
      <c r="D29" s="323">
        <f>Daten!D11</f>
        <v>27.26</v>
      </c>
      <c r="E29" s="1"/>
      <c r="F29" s="323">
        <f>D29</f>
        <v>27.26</v>
      </c>
      <c r="G29" s="1"/>
      <c r="H29" s="323">
        <f>F29</f>
        <v>27.26</v>
      </c>
      <c r="I29" s="1"/>
      <c r="J29" s="324">
        <f>H29</f>
        <v>27.26</v>
      </c>
      <c r="K29" s="2"/>
      <c r="L29" s="324">
        <f>J29</f>
        <v>27.26</v>
      </c>
      <c r="M29" s="1"/>
      <c r="N29" s="325">
        <f>L29</f>
        <v>27.26</v>
      </c>
      <c r="O29" s="1"/>
      <c r="P29" s="325">
        <f>N29</f>
        <v>27.26</v>
      </c>
    </row>
    <row r="30" spans="2:16" s="16" customFormat="1" ht="15.75" thickBot="1" x14ac:dyDescent="0.3">
      <c r="B30" s="33"/>
      <c r="C30" s="2"/>
      <c r="D30" s="34"/>
      <c r="E30" s="2"/>
      <c r="F30" s="34"/>
      <c r="G30" s="2"/>
      <c r="H30" s="34"/>
      <c r="I30" s="2"/>
      <c r="J30" s="34"/>
      <c r="K30" s="2"/>
      <c r="L30" s="34"/>
      <c r="M30" s="2"/>
      <c r="N30" s="34"/>
      <c r="O30" s="2"/>
      <c r="P30" s="34"/>
    </row>
    <row r="31" spans="2:16" s="21" customFormat="1" ht="15.75" thickBot="1" x14ac:dyDescent="0.3">
      <c r="B31" s="327" t="s">
        <v>72</v>
      </c>
      <c r="C31" s="1"/>
      <c r="D31" s="326">
        <f>D19+D27+D23</f>
        <v>921.24793321835114</v>
      </c>
      <c r="E31" s="35"/>
      <c r="F31" s="326">
        <f>F19+F27+F23</f>
        <v>1381.8718998275267</v>
      </c>
      <c r="G31" s="35"/>
      <c r="H31" s="326">
        <f>H19+H27+H23</f>
        <v>1842.4958664367023</v>
      </c>
      <c r="I31" s="35"/>
      <c r="J31" s="326">
        <f>J19+J27+J23</f>
        <v>2248.7406147656279</v>
      </c>
      <c r="K31" s="10"/>
      <c r="L31" s="326">
        <f>L19+L27+L23</f>
        <v>2722.1596915583918</v>
      </c>
      <c r="M31" s="35"/>
      <c r="N31" s="326">
        <f>N19+N27+N23</f>
        <v>3038.8386686022004</v>
      </c>
      <c r="O31" s="35"/>
      <c r="P31" s="326">
        <f>P19+P27+P23</f>
        <v>4619.0347762753436</v>
      </c>
    </row>
    <row r="32" spans="2:16" ht="15.75" thickBot="1" x14ac:dyDescent="0.3">
      <c r="B32" s="1"/>
      <c r="C32" s="1"/>
      <c r="D32" s="13"/>
      <c r="E32" s="1"/>
      <c r="F32" s="13"/>
      <c r="G32" s="1"/>
      <c r="H32" s="13"/>
      <c r="I32" s="1"/>
      <c r="J32" s="13"/>
      <c r="K32" s="2"/>
      <c r="L32" s="13"/>
      <c r="M32" s="1"/>
      <c r="N32" s="13"/>
      <c r="O32" s="1"/>
      <c r="P32" s="13"/>
    </row>
    <row r="33" spans="2:16" s="21" customFormat="1" x14ac:dyDescent="0.25">
      <c r="B33" s="328" t="s">
        <v>222</v>
      </c>
      <c r="C33" s="1"/>
      <c r="D33" s="331">
        <f>'Kapital- &amp; Betriebsgeb. Kosten'!B100*1.19</f>
        <v>229.49149999999997</v>
      </c>
      <c r="E33" s="22"/>
      <c r="F33" s="331">
        <f>'Kapital- &amp; Betriebsgeb. Kosten'!C100*1.19</f>
        <v>229.49149999999997</v>
      </c>
      <c r="G33" s="22"/>
      <c r="H33" s="331">
        <f>'Kapital- &amp; Betriebsgeb. Kosten'!D100*1.19</f>
        <v>229.49149999999997</v>
      </c>
      <c r="I33" s="22"/>
      <c r="J33" s="334">
        <f>'Kapital- &amp; Betriebsgeb. Kosten'!E100*1.19</f>
        <v>229.49149999999997</v>
      </c>
      <c r="K33" s="23"/>
      <c r="L33" s="334">
        <f>'Kapital- &amp; Betriebsgeb. Kosten'!F100*1.19</f>
        <v>229.49149999999997</v>
      </c>
      <c r="M33" s="22"/>
      <c r="N33" s="337">
        <f>'Kapital- &amp; Betriebsgeb. Kosten'!G100*1.19</f>
        <v>229.49149999999997</v>
      </c>
      <c r="O33" s="22"/>
      <c r="P33" s="337">
        <f>'Kapital- &amp; Betriebsgeb. Kosten'!H100*1.19</f>
        <v>285.52859999999998</v>
      </c>
    </row>
    <row r="34" spans="2:16" s="21" customFormat="1" x14ac:dyDescent="0.25">
      <c r="B34" s="329" t="s">
        <v>223</v>
      </c>
      <c r="C34" s="1"/>
      <c r="D34" s="332">
        <f>'Kapital- &amp; Betriebsgeb. Kosten'!$B$98*1.19</f>
        <v>320.70583300000004</v>
      </c>
      <c r="E34" s="22"/>
      <c r="F34" s="332">
        <f>'Kapital- &amp; Betriebsgeb. Kosten'!$C$98*1.19</f>
        <v>320.70583300000004</v>
      </c>
      <c r="G34" s="22"/>
      <c r="H34" s="332">
        <f>'Kapital- &amp; Betriebsgeb. Kosten'!$D$98*1.19</f>
        <v>320.70583300000004</v>
      </c>
      <c r="I34" s="22"/>
      <c r="J34" s="335">
        <f>'Kapital- &amp; Betriebsgeb. Kosten'!$E$98*1.19</f>
        <v>320.70583300000004</v>
      </c>
      <c r="K34" s="23"/>
      <c r="L34" s="335">
        <f>'Kapital- &amp; Betriebsgeb. Kosten'!$F$98*1.19</f>
        <v>330.84344299999998</v>
      </c>
      <c r="M34" s="22"/>
      <c r="N34" s="338">
        <f>'Kapital- &amp; Betriebsgeb. Kosten'!$G$98*1.19</f>
        <v>332.93323175</v>
      </c>
      <c r="O34" s="22"/>
      <c r="P34" s="338">
        <f>'Kapital- &amp; Betriebsgeb. Kosten'!$H$98*1.19</f>
        <v>400.23171825000014</v>
      </c>
    </row>
    <row r="35" spans="2:16" s="21" customFormat="1" ht="15.75" thickBot="1" x14ac:dyDescent="0.3">
      <c r="B35" s="330" t="s">
        <v>224</v>
      </c>
      <c r="C35" s="1"/>
      <c r="D35" s="333">
        <f>Daten!$D$58</f>
        <v>182.47578999999996</v>
      </c>
      <c r="E35" s="22"/>
      <c r="F35" s="333">
        <f>Daten!$D$58</f>
        <v>182.47578999999996</v>
      </c>
      <c r="G35" s="22"/>
      <c r="H35" s="333">
        <f>Daten!$D$58</f>
        <v>182.47578999999996</v>
      </c>
      <c r="I35" s="22"/>
      <c r="J35" s="336">
        <f>Daten!$D$58</f>
        <v>182.47578999999996</v>
      </c>
      <c r="K35" s="23"/>
      <c r="L35" s="336">
        <f>Daten!$D$58</f>
        <v>182.47578999999996</v>
      </c>
      <c r="M35" s="22"/>
      <c r="N35" s="339">
        <f>Daten!$D$58</f>
        <v>182.47578999999996</v>
      </c>
      <c r="O35" s="22"/>
      <c r="P35" s="339">
        <f>Daten!$D$58</f>
        <v>182.47578999999996</v>
      </c>
    </row>
    <row r="36" spans="2:16" s="21" customFormat="1" ht="15.75" thickBot="1" x14ac:dyDescent="0.3"/>
    <row r="37" spans="2:16" s="21" customFormat="1" x14ac:dyDescent="0.25">
      <c r="B37" s="328" t="s">
        <v>225</v>
      </c>
      <c r="C37" s="1"/>
      <c r="D37" s="331">
        <f>D38*D40</f>
        <v>375</v>
      </c>
      <c r="E37" s="22"/>
      <c r="F37" s="331">
        <f>F38*F40</f>
        <v>400</v>
      </c>
      <c r="G37" s="22"/>
      <c r="H37" s="331">
        <f>H38*H40</f>
        <v>425</v>
      </c>
      <c r="I37" s="22"/>
      <c r="J37" s="334">
        <f>J38*J40</f>
        <v>450</v>
      </c>
      <c r="K37" s="23"/>
      <c r="L37" s="334">
        <f>L38*L40</f>
        <v>475</v>
      </c>
      <c r="M37" s="22"/>
      <c r="N37" s="337">
        <f>N38*N40</f>
        <v>500</v>
      </c>
      <c r="O37" s="22"/>
      <c r="P37" s="337">
        <f>P38*P40</f>
        <v>525</v>
      </c>
    </row>
    <row r="38" spans="2:16" s="21" customFormat="1" x14ac:dyDescent="0.25">
      <c r="B38" s="377" t="s">
        <v>238</v>
      </c>
      <c r="C38" s="1"/>
      <c r="D38" s="340">
        <f>F38-10</f>
        <v>150</v>
      </c>
      <c r="E38" s="22"/>
      <c r="F38" s="340">
        <f>H38-10</f>
        <v>160</v>
      </c>
      <c r="G38" s="22"/>
      <c r="H38" s="340">
        <f>Daten!$E$77-10</f>
        <v>170</v>
      </c>
      <c r="I38" s="22"/>
      <c r="J38" s="342">
        <f>Daten!$E$77</f>
        <v>180</v>
      </c>
      <c r="K38" s="23"/>
      <c r="L38" s="342">
        <f>J38+10</f>
        <v>190</v>
      </c>
      <c r="M38" s="22"/>
      <c r="N38" s="344">
        <f>L38+10</f>
        <v>200</v>
      </c>
      <c r="O38" s="22"/>
      <c r="P38" s="344">
        <f>N38+10</f>
        <v>210</v>
      </c>
    </row>
    <row r="39" spans="2:16" s="21" customFormat="1" x14ac:dyDescent="0.25">
      <c r="B39" s="379"/>
      <c r="C39" s="1"/>
      <c r="D39" s="341">
        <f>((D38/365)/100*60)*100</f>
        <v>24.657534246575342</v>
      </c>
      <c r="E39" s="22"/>
      <c r="F39" s="341">
        <f>((F38/365)/100*60)*100</f>
        <v>26.301369863013697</v>
      </c>
      <c r="G39" s="22"/>
      <c r="H39" s="341">
        <f>((H38/365)/100*60)*100</f>
        <v>27.945205479452049</v>
      </c>
      <c r="I39" s="22"/>
      <c r="J39" s="343">
        <f>((J38/365)/100*60)*100</f>
        <v>29.589041095890412</v>
      </c>
      <c r="K39" s="23"/>
      <c r="L39" s="343">
        <f>((L38/365)/100*60)*100</f>
        <v>31.232876712328768</v>
      </c>
      <c r="M39" s="22"/>
      <c r="N39" s="345">
        <f>((N38/365)/100*60)*100</f>
        <v>32.87671232876712</v>
      </c>
      <c r="O39" s="22"/>
      <c r="P39" s="345">
        <f>((P38/365)/100*60)*100</f>
        <v>34.520547945205479</v>
      </c>
    </row>
    <row r="40" spans="2:16" s="21" customFormat="1" ht="15.75" thickBot="1" x14ac:dyDescent="0.3">
      <c r="B40" s="330" t="s">
        <v>226</v>
      </c>
      <c r="C40" s="1"/>
      <c r="D40" s="361">
        <v>2.5</v>
      </c>
      <c r="E40" s="362"/>
      <c r="F40" s="361">
        <f>D40</f>
        <v>2.5</v>
      </c>
      <c r="G40" s="362"/>
      <c r="H40" s="361">
        <f>F40</f>
        <v>2.5</v>
      </c>
      <c r="I40" s="362"/>
      <c r="J40" s="363">
        <f>H40</f>
        <v>2.5</v>
      </c>
      <c r="K40" s="364"/>
      <c r="L40" s="363">
        <f>J40</f>
        <v>2.5</v>
      </c>
      <c r="M40" s="362"/>
      <c r="N40" s="365">
        <f>L40</f>
        <v>2.5</v>
      </c>
      <c r="O40" s="362"/>
      <c r="P40" s="365">
        <f>N40</f>
        <v>2.5</v>
      </c>
    </row>
    <row r="41" spans="2:16" s="21" customFormat="1" ht="15.75" thickBot="1" x14ac:dyDescent="0.3"/>
    <row r="42" spans="2:16" ht="15.75" thickBot="1" x14ac:dyDescent="0.3">
      <c r="B42" s="327" t="s">
        <v>71</v>
      </c>
      <c r="C42" s="1"/>
      <c r="D42" s="326">
        <f>D34+D33+D35+D37</f>
        <v>1107.673123</v>
      </c>
      <c r="E42" s="35"/>
      <c r="F42" s="326">
        <f>F34+F33+F35+F37</f>
        <v>1132.673123</v>
      </c>
      <c r="G42" s="35"/>
      <c r="H42" s="326">
        <f>H34+H33+H35+H37</f>
        <v>1157.673123</v>
      </c>
      <c r="I42" s="35"/>
      <c r="J42" s="326">
        <f>J34+J33+J35+J37</f>
        <v>1182.673123</v>
      </c>
      <c r="K42" s="10"/>
      <c r="L42" s="326">
        <f>L34+L33+L35+L37</f>
        <v>1217.8107329999998</v>
      </c>
      <c r="M42" s="35"/>
      <c r="N42" s="326">
        <f>N34+N33+N35+N37</f>
        <v>1244.9005217499998</v>
      </c>
      <c r="O42" s="35"/>
      <c r="P42" s="326">
        <f>P34+P33+P35+P37</f>
        <v>1393.2361082500001</v>
      </c>
    </row>
    <row r="43" spans="2:16" ht="15.75" thickBot="1" x14ac:dyDescent="0.3">
      <c r="B43" s="1"/>
      <c r="C43" s="1"/>
      <c r="D43" s="13"/>
      <c r="E43" s="1"/>
      <c r="F43" s="13"/>
      <c r="G43" s="1"/>
      <c r="H43" s="13" t="s">
        <v>74</v>
      </c>
      <c r="I43" s="1"/>
      <c r="J43" s="13"/>
      <c r="K43" s="2"/>
      <c r="L43" s="13"/>
      <c r="M43" s="1"/>
      <c r="N43" s="13"/>
      <c r="O43" s="1"/>
      <c r="P43" s="13"/>
    </row>
    <row r="44" spans="2:16" x14ac:dyDescent="0.25">
      <c r="B44" s="346" t="s">
        <v>3</v>
      </c>
      <c r="C44" s="1"/>
      <c r="D44" s="349">
        <f>'Kapital- &amp; Betriebsgeb. Kosten'!$B$125</f>
        <v>16688.595699999998</v>
      </c>
      <c r="E44" s="1"/>
      <c r="F44" s="349">
        <f>'Kapital- &amp; Betriebsgeb. Kosten'!$C$125</f>
        <v>16688.595699999998</v>
      </c>
      <c r="G44" s="1"/>
      <c r="H44" s="349">
        <f>'Kapital- &amp; Betriebsgeb. Kosten'!$D$125</f>
        <v>16688.595699999998</v>
      </c>
      <c r="I44" s="1"/>
      <c r="J44" s="353">
        <f>'Kapital- &amp; Betriebsgeb. Kosten'!$E$125</f>
        <v>16688.595699999998</v>
      </c>
      <c r="K44" s="2"/>
      <c r="L44" s="353">
        <f>'Kapital- &amp; Betriebsgeb. Kosten'!$F$125</f>
        <v>17145.603299999995</v>
      </c>
      <c r="M44" s="1"/>
      <c r="N44" s="357">
        <f>'Kapital- &amp; Betriebsgeb. Kosten'!$G$125</f>
        <v>17013.2991</v>
      </c>
      <c r="O44" s="1"/>
      <c r="P44" s="357">
        <f>'Kapital- &amp; Betriebsgeb. Kosten'!$H$125</f>
        <v>19955.716900000003</v>
      </c>
    </row>
    <row r="45" spans="2:16" s="21" customFormat="1" x14ac:dyDescent="0.25">
      <c r="B45" s="275" t="s">
        <v>231</v>
      </c>
      <c r="C45" s="1"/>
      <c r="D45" s="350" t="s">
        <v>232</v>
      </c>
      <c r="E45" s="1"/>
      <c r="F45" s="350" t="s">
        <v>232</v>
      </c>
      <c r="G45" s="1"/>
      <c r="H45" s="350" t="s">
        <v>232</v>
      </c>
      <c r="I45" s="1"/>
      <c r="J45" s="354" t="s">
        <v>232</v>
      </c>
      <c r="K45" s="2"/>
      <c r="L45" s="354" t="s">
        <v>232</v>
      </c>
      <c r="M45" s="1"/>
      <c r="N45" s="358" t="s">
        <v>232</v>
      </c>
      <c r="O45" s="1"/>
      <c r="P45" s="358" t="s">
        <v>232</v>
      </c>
    </row>
    <row r="46" spans="2:16" s="21" customFormat="1" ht="15.75" thickBot="1" x14ac:dyDescent="0.3">
      <c r="B46" s="347" t="s">
        <v>230</v>
      </c>
      <c r="C46" s="1"/>
      <c r="D46" s="351">
        <f>D44*0.45</f>
        <v>7509.8680649999997</v>
      </c>
      <c r="E46" s="1"/>
      <c r="F46" s="351">
        <f>F44*0.45</f>
        <v>7509.8680649999997</v>
      </c>
      <c r="G46" s="1"/>
      <c r="H46" s="351">
        <f>H44*0.45</f>
        <v>7509.8680649999997</v>
      </c>
      <c r="I46" s="1"/>
      <c r="J46" s="355">
        <f>J44*0.45</f>
        <v>7509.8680649999997</v>
      </c>
      <c r="K46" s="2"/>
      <c r="L46" s="355">
        <f>L44*0.45</f>
        <v>7715.5214849999984</v>
      </c>
      <c r="M46" s="1"/>
      <c r="N46" s="359">
        <f>N44*0.45</f>
        <v>7655.9845949999999</v>
      </c>
      <c r="O46" s="1"/>
      <c r="P46" s="359">
        <f>P44*0.45</f>
        <v>8980.0726050000012</v>
      </c>
    </row>
    <row r="47" spans="2:16" s="21" customFormat="1" ht="15.75" thickBot="1" x14ac:dyDescent="0.3"/>
    <row r="48" spans="2:16" s="21" customFormat="1" x14ac:dyDescent="0.25">
      <c r="B48" s="346" t="s">
        <v>233</v>
      </c>
      <c r="C48" s="1"/>
      <c r="D48" s="349">
        <v>900</v>
      </c>
      <c r="E48" s="1"/>
      <c r="F48" s="349">
        <f>D48+60</f>
        <v>960</v>
      </c>
      <c r="G48" s="1"/>
      <c r="H48" s="349">
        <f>F48+60</f>
        <v>1020</v>
      </c>
      <c r="I48" s="1"/>
      <c r="J48" s="353">
        <f>H48+60</f>
        <v>1080</v>
      </c>
      <c r="K48" s="2"/>
      <c r="L48" s="353">
        <f>J48+60</f>
        <v>1140</v>
      </c>
      <c r="M48" s="1"/>
      <c r="N48" s="357">
        <f>L48+60</f>
        <v>1200</v>
      </c>
      <c r="O48" s="1"/>
      <c r="P48" s="357">
        <f>N48+60*3</f>
        <v>1380</v>
      </c>
    </row>
    <row r="49" spans="2:16" s="21" customFormat="1" x14ac:dyDescent="0.25">
      <c r="B49" s="275" t="s">
        <v>234</v>
      </c>
      <c r="C49" s="1"/>
      <c r="D49" s="350" t="s">
        <v>232</v>
      </c>
      <c r="E49" s="1"/>
      <c r="F49" s="350" t="s">
        <v>232</v>
      </c>
      <c r="G49" s="1"/>
      <c r="H49" s="350" t="s">
        <v>232</v>
      </c>
      <c r="I49" s="1"/>
      <c r="J49" s="354" t="s">
        <v>232</v>
      </c>
      <c r="K49" s="2"/>
      <c r="L49" s="354" t="s">
        <v>232</v>
      </c>
      <c r="M49" s="1"/>
      <c r="N49" s="358" t="s">
        <v>232</v>
      </c>
      <c r="O49" s="1"/>
      <c r="P49" s="358" t="s">
        <v>232</v>
      </c>
    </row>
    <row r="50" spans="2:16" s="21" customFormat="1" ht="15.75" thickBot="1" x14ac:dyDescent="0.3">
      <c r="B50" s="347" t="s">
        <v>235</v>
      </c>
      <c r="C50" s="1"/>
      <c r="D50" s="351">
        <f>D48*0.2</f>
        <v>180</v>
      </c>
      <c r="E50" s="1"/>
      <c r="F50" s="351">
        <f>F48*0.2</f>
        <v>192</v>
      </c>
      <c r="G50" s="1"/>
      <c r="H50" s="351">
        <f>H48*0.2</f>
        <v>204</v>
      </c>
      <c r="I50" s="1"/>
      <c r="J50" s="355">
        <f>J48*0.2</f>
        <v>216</v>
      </c>
      <c r="K50" s="2"/>
      <c r="L50" s="355">
        <f>L48*0.2</f>
        <v>228</v>
      </c>
      <c r="M50" s="1"/>
      <c r="N50" s="359">
        <f>N48*0.2</f>
        <v>240</v>
      </c>
      <c r="O50" s="1"/>
      <c r="P50" s="359">
        <f>P48*0.2</f>
        <v>276</v>
      </c>
    </row>
    <row r="51" spans="2:16" s="21" customFormat="1" ht="15.75" thickBot="1" x14ac:dyDescent="0.3"/>
    <row r="52" spans="2:16" s="21" customFormat="1" ht="15.75" thickBot="1" x14ac:dyDescent="0.3">
      <c r="B52" s="348" t="s">
        <v>236</v>
      </c>
      <c r="C52" s="1"/>
      <c r="D52" s="352">
        <f>D44+D48-D46-D50</f>
        <v>9898.7276349999993</v>
      </c>
      <c r="E52" s="1"/>
      <c r="F52" s="352">
        <f>F44+F48-F46-F50</f>
        <v>9946.7276349999993</v>
      </c>
      <c r="G52" s="1"/>
      <c r="H52" s="352">
        <f>H44+H48-H46-H50</f>
        <v>9994.7276349999993</v>
      </c>
      <c r="I52" s="1"/>
      <c r="J52" s="356">
        <f>J44+J48-J46-J50</f>
        <v>10042.727634999999</v>
      </c>
      <c r="K52" s="2"/>
      <c r="L52" s="356">
        <f>L44+L48-L46-L50</f>
        <v>10342.081814999998</v>
      </c>
      <c r="M52" s="1"/>
      <c r="N52" s="360">
        <f>N44+N48-N46-N50</f>
        <v>10317.314505</v>
      </c>
      <c r="O52" s="1"/>
      <c r="P52" s="360">
        <f>P44+P48-P46-P50</f>
        <v>12079.644295000002</v>
      </c>
    </row>
    <row r="53" spans="2:16" ht="15.75" thickBot="1" x14ac:dyDescent="0.3">
      <c r="B53" s="1"/>
      <c r="C53" s="1"/>
      <c r="D53" s="13"/>
      <c r="E53" s="1"/>
      <c r="F53" s="13"/>
      <c r="G53" s="1"/>
      <c r="H53" s="13"/>
      <c r="I53" s="1"/>
      <c r="J53" s="13"/>
      <c r="K53" s="2"/>
      <c r="L53" s="13"/>
      <c r="M53" s="1"/>
      <c r="N53" s="13"/>
      <c r="O53" s="1"/>
      <c r="P53" s="13"/>
    </row>
    <row r="54" spans="2:16" x14ac:dyDescent="0.25">
      <c r="B54" s="5" t="s">
        <v>4</v>
      </c>
      <c r="C54" s="1"/>
      <c r="D54" s="6">
        <v>25</v>
      </c>
      <c r="E54" s="1"/>
      <c r="F54" s="6">
        <v>25</v>
      </c>
      <c r="G54" s="1"/>
      <c r="H54" s="6">
        <v>25</v>
      </c>
      <c r="I54" s="1"/>
      <c r="J54" s="14">
        <v>25</v>
      </c>
      <c r="K54" s="2"/>
      <c r="L54" s="14">
        <v>25</v>
      </c>
      <c r="M54" s="1"/>
      <c r="N54" s="17">
        <v>25</v>
      </c>
      <c r="O54" s="1"/>
      <c r="P54" s="17">
        <v>25</v>
      </c>
    </row>
    <row r="55" spans="2:16" ht="15.75" thickBot="1" x14ac:dyDescent="0.3">
      <c r="B55" s="4" t="s">
        <v>5</v>
      </c>
      <c r="C55" s="1"/>
      <c r="D55" s="7">
        <v>0.02</v>
      </c>
      <c r="E55" s="1"/>
      <c r="F55" s="7">
        <v>0.02</v>
      </c>
      <c r="G55" s="1"/>
      <c r="H55" s="7">
        <v>0.02</v>
      </c>
      <c r="I55" s="1"/>
      <c r="J55" s="15">
        <v>0.02</v>
      </c>
      <c r="K55" s="2"/>
      <c r="L55" s="15">
        <v>0.02</v>
      </c>
      <c r="M55" s="1"/>
      <c r="N55" s="18">
        <v>0.02</v>
      </c>
      <c r="O55" s="1"/>
      <c r="P55" s="18">
        <v>0.02</v>
      </c>
    </row>
    <row r="56" spans="2:16" s="16" customFormat="1" x14ac:dyDescent="0.25">
      <c r="B56" s="24"/>
      <c r="C56" s="2"/>
      <c r="D56" s="25"/>
      <c r="E56" s="2"/>
      <c r="F56" s="25"/>
      <c r="G56" s="2"/>
      <c r="H56" s="25"/>
      <c r="I56" s="2"/>
      <c r="J56" s="25"/>
      <c r="K56" s="2"/>
      <c r="L56" s="25"/>
      <c r="M56" s="2"/>
      <c r="N56" s="25"/>
      <c r="O56" s="2"/>
      <c r="P56" s="25"/>
    </row>
    <row r="57" spans="2:16" x14ac:dyDescent="0.25">
      <c r="B57" s="39" t="s">
        <v>76</v>
      </c>
      <c r="C57" s="1"/>
      <c r="D57" s="273">
        <f>-PMT(D55,D54,D52,0)</f>
        <v>507.01716923908072</v>
      </c>
      <c r="E57" s="35"/>
      <c r="F57" s="273">
        <f>-PMT(F55,F54,F52,0)</f>
        <v>509.47575028311564</v>
      </c>
      <c r="G57" s="35"/>
      <c r="H57" s="273">
        <f>-PMT(H55,H54,H52,0)</f>
        <v>511.93433132715057</v>
      </c>
      <c r="I57" s="35"/>
      <c r="J57" s="273">
        <f>-PMT(J55,J54,J52,0)</f>
        <v>514.39291237118562</v>
      </c>
      <c r="K57" s="10"/>
      <c r="L57" s="273">
        <f>-PMT(L55,L54,L52,0)</f>
        <v>529.72596471286522</v>
      </c>
      <c r="M57" s="35"/>
      <c r="N57" s="273">
        <f>-PMT(N55,N54,N52,0)</f>
        <v>528.45737223624576</v>
      </c>
      <c r="O57" s="35"/>
      <c r="P57" s="273">
        <f>-PMT(P55,P54,P52,0)</f>
        <v>618.72467671608104</v>
      </c>
    </row>
    <row r="58" spans="2:16" ht="15.75" thickBot="1" x14ac:dyDescent="0.3"/>
    <row r="59" spans="2:16" x14ac:dyDescent="0.25">
      <c r="B59" s="367" t="s">
        <v>2</v>
      </c>
      <c r="C59" s="1"/>
      <c r="D59" s="273">
        <f>D57+D42+D31</f>
        <v>2535.9382254574321</v>
      </c>
      <c r="E59" s="1"/>
      <c r="F59" s="273">
        <f>F57+F42+F31</f>
        <v>3024.0207731106425</v>
      </c>
      <c r="G59" s="1"/>
      <c r="H59" s="273">
        <f>H57+H42+H31</f>
        <v>3512.1033207638529</v>
      </c>
      <c r="I59" s="1"/>
      <c r="J59" s="273">
        <f>J57+J42+J31</f>
        <v>3945.8066501368135</v>
      </c>
      <c r="K59" s="2"/>
      <c r="L59" s="273">
        <f>L57+L42+L31</f>
        <v>4469.6963892712574</v>
      </c>
      <c r="M59" s="1"/>
      <c r="N59" s="273">
        <f>N57+N42+N31</f>
        <v>4812.1965625884459</v>
      </c>
      <c r="O59" s="1"/>
      <c r="P59" s="273">
        <f>P57+P42+P31</f>
        <v>6630.9955612414251</v>
      </c>
    </row>
    <row r="60" spans="2:16" ht="15.75" thickBot="1" x14ac:dyDescent="0.3">
      <c r="B60" s="368"/>
      <c r="C60" s="1"/>
      <c r="D60" s="291">
        <f>D59/D12*100</f>
        <v>17.610682121232166</v>
      </c>
      <c r="E60" s="52"/>
      <c r="F60" s="291">
        <f>F59/F12*100</f>
        <v>14.000096171808529</v>
      </c>
      <c r="G60" s="52"/>
      <c r="H60" s="291">
        <f>H59/H12*100</f>
        <v>12.194803197096711</v>
      </c>
      <c r="I60" s="52"/>
      <c r="J60" s="291">
        <f>J59/J12*100</f>
        <v>11.225623471228488</v>
      </c>
      <c r="K60" s="53"/>
      <c r="L60" s="291">
        <f>L59/L12*100</f>
        <v>10.504574357864294</v>
      </c>
      <c r="M60" s="52"/>
      <c r="N60" s="291">
        <f>N59/N12*100</f>
        <v>10.130940131765149</v>
      </c>
      <c r="O60" s="52"/>
      <c r="P60" s="291">
        <f>P59/P12*100</f>
        <v>9.1842043784507279</v>
      </c>
    </row>
    <row r="62" spans="2:16" s="21" customFormat="1" x14ac:dyDescent="0.25"/>
    <row r="65" spans="4:16" x14ac:dyDescent="0.25">
      <c r="D65" s="59"/>
      <c r="F65" s="59"/>
      <c r="H65" s="59"/>
      <c r="J65" s="59"/>
      <c r="L65" s="59"/>
      <c r="N65" s="59"/>
      <c r="P65" s="59"/>
    </row>
    <row r="66" spans="4:16" x14ac:dyDescent="0.25">
      <c r="D66" s="58"/>
    </row>
    <row r="67" spans="4:16" x14ac:dyDescent="0.25">
      <c r="D67" s="59"/>
    </row>
  </sheetData>
  <mergeCells count="5">
    <mergeCell ref="B59:B60"/>
    <mergeCell ref="B2:P3"/>
    <mergeCell ref="B16:B17"/>
    <mergeCell ref="B20:B21"/>
    <mergeCell ref="B38:B3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5"/>
  <sheetViews>
    <sheetView topLeftCell="A94" workbookViewId="0">
      <pane xSplit="1" topLeftCell="B1" activePane="topRight" state="frozen"/>
      <selection pane="topRight" activeCell="A112" sqref="A112:H125"/>
    </sheetView>
  </sheetViews>
  <sheetFormatPr baseColWidth="10" defaultRowHeight="15" x14ac:dyDescent="0.25"/>
  <cols>
    <col min="1" max="1" width="59" customWidth="1"/>
    <col min="2" max="2" width="19.85546875" bestFit="1" customWidth="1"/>
    <col min="3" max="8" width="18" bestFit="1" customWidth="1"/>
  </cols>
  <sheetData>
    <row r="1" spans="1:8" ht="15.75" thickBot="1" x14ac:dyDescent="0.3">
      <c r="A1" s="21"/>
      <c r="B1" s="21"/>
      <c r="C1" s="21"/>
      <c r="D1" s="21"/>
      <c r="E1" s="21"/>
      <c r="F1" s="21"/>
      <c r="G1" s="21"/>
      <c r="H1" s="21"/>
    </row>
    <row r="2" spans="1:8" ht="18.75" thickBot="1" x14ac:dyDescent="0.3">
      <c r="A2" s="381" t="s">
        <v>125</v>
      </c>
      <c r="B2" s="382"/>
      <c r="C2" s="382"/>
      <c r="D2" s="382"/>
      <c r="E2" s="382"/>
      <c r="F2" s="382"/>
      <c r="G2" s="382"/>
      <c r="H2" s="383"/>
    </row>
    <row r="3" spans="1:8" x14ac:dyDescent="0.25">
      <c r="A3" s="60"/>
      <c r="B3" s="60"/>
      <c r="C3" s="60"/>
      <c r="D3" s="60"/>
      <c r="E3" s="60"/>
      <c r="F3" s="60"/>
      <c r="G3" s="60"/>
      <c r="H3" s="60"/>
    </row>
    <row r="4" spans="1:8" x14ac:dyDescent="0.25">
      <c r="A4" s="36" t="s">
        <v>12</v>
      </c>
      <c r="B4" s="37" t="s">
        <v>13</v>
      </c>
      <c r="C4" s="61"/>
      <c r="D4" s="61"/>
      <c r="E4" s="61"/>
      <c r="F4" s="61"/>
      <c r="G4" s="61"/>
      <c r="H4" s="61"/>
    </row>
    <row r="5" spans="1:8" x14ac:dyDescent="0.25">
      <c r="A5" s="36" t="s">
        <v>14</v>
      </c>
      <c r="B5" s="37" t="s">
        <v>15</v>
      </c>
      <c r="C5" s="61"/>
      <c r="D5" s="61"/>
      <c r="E5" s="61"/>
      <c r="F5" s="61"/>
      <c r="G5" s="61"/>
      <c r="H5" s="61"/>
    </row>
    <row r="6" spans="1:8" x14ac:dyDescent="0.25">
      <c r="A6" s="36" t="s">
        <v>16</v>
      </c>
      <c r="B6" s="37" t="s">
        <v>17</v>
      </c>
      <c r="C6" s="61"/>
      <c r="D6" s="61"/>
      <c r="E6" s="61"/>
      <c r="F6" s="61"/>
      <c r="G6" s="61"/>
      <c r="H6" s="61"/>
    </row>
    <row r="7" spans="1:8" ht="15.75" thickBot="1" x14ac:dyDescent="0.3">
      <c r="A7" s="36"/>
      <c r="B7" s="37"/>
      <c r="C7" s="61"/>
      <c r="D7" s="61"/>
      <c r="E7" s="61"/>
      <c r="F7" s="61"/>
      <c r="G7" s="61"/>
      <c r="H7" s="61"/>
    </row>
    <row r="8" spans="1:8" ht="15.75" thickBot="1" x14ac:dyDescent="0.3">
      <c r="A8" s="96" t="s">
        <v>18</v>
      </c>
      <c r="B8" s="94">
        <v>1</v>
      </c>
      <c r="C8" s="94">
        <v>2</v>
      </c>
      <c r="D8" s="94">
        <v>3</v>
      </c>
      <c r="E8" s="94">
        <v>4</v>
      </c>
      <c r="F8" s="94">
        <v>5</v>
      </c>
      <c r="G8" s="94">
        <v>6</v>
      </c>
      <c r="H8" s="95">
        <v>7</v>
      </c>
    </row>
    <row r="9" spans="1:8" ht="15.75" thickBot="1" x14ac:dyDescent="0.3">
      <c r="A9" s="36" t="s">
        <v>19</v>
      </c>
      <c r="B9" s="60"/>
      <c r="C9" s="60"/>
      <c r="D9" s="60"/>
      <c r="E9" s="60"/>
      <c r="F9" s="60"/>
      <c r="G9" s="60"/>
      <c r="H9" s="60"/>
    </row>
    <row r="10" spans="1:8" x14ac:dyDescent="0.25">
      <c r="A10" s="67" t="s">
        <v>6</v>
      </c>
      <c r="B10" s="99" t="s">
        <v>9</v>
      </c>
      <c r="C10" s="99" t="s">
        <v>9</v>
      </c>
      <c r="D10" s="99" t="s">
        <v>9</v>
      </c>
      <c r="E10" s="99" t="s">
        <v>10</v>
      </c>
      <c r="F10" s="99" t="s">
        <v>10</v>
      </c>
      <c r="G10" s="99" t="s">
        <v>20</v>
      </c>
      <c r="H10" s="101" t="s">
        <v>20</v>
      </c>
    </row>
    <row r="11" spans="1:8" s="21" customFormat="1" x14ac:dyDescent="0.25">
      <c r="A11" s="85" t="s">
        <v>83</v>
      </c>
      <c r="B11" s="115" t="s">
        <v>84</v>
      </c>
      <c r="C11" s="115" t="s">
        <v>84</v>
      </c>
      <c r="D11" s="115" t="s">
        <v>84</v>
      </c>
      <c r="E11" s="115" t="s">
        <v>84</v>
      </c>
      <c r="F11" s="115" t="s">
        <v>84</v>
      </c>
      <c r="G11" s="115" t="s">
        <v>84</v>
      </c>
      <c r="H11" s="136" t="s">
        <v>84</v>
      </c>
    </row>
    <row r="12" spans="1:8" x14ac:dyDescent="0.25">
      <c r="A12" s="62" t="s">
        <v>21</v>
      </c>
      <c r="B12" s="63" t="s">
        <v>82</v>
      </c>
      <c r="C12" s="63" t="s">
        <v>82</v>
      </c>
      <c r="D12" s="63" t="s">
        <v>82</v>
      </c>
      <c r="E12" s="63" t="s">
        <v>82</v>
      </c>
      <c r="F12" s="63" t="s">
        <v>82</v>
      </c>
      <c r="G12" s="63" t="s">
        <v>82</v>
      </c>
      <c r="H12" s="70" t="s">
        <v>82</v>
      </c>
    </row>
    <row r="13" spans="1:8" x14ac:dyDescent="0.25">
      <c r="A13" s="62" t="s">
        <v>7</v>
      </c>
      <c r="B13" s="98">
        <v>100</v>
      </c>
      <c r="C13" s="98">
        <v>150</v>
      </c>
      <c r="D13" s="98">
        <v>200</v>
      </c>
      <c r="E13" s="98">
        <v>250</v>
      </c>
      <c r="F13" s="98">
        <v>300</v>
      </c>
      <c r="G13" s="98">
        <v>340</v>
      </c>
      <c r="H13" s="102">
        <v>510</v>
      </c>
    </row>
    <row r="14" spans="1:8" x14ac:dyDescent="0.25">
      <c r="A14" s="39" t="s">
        <v>11</v>
      </c>
      <c r="B14" s="100">
        <v>1800</v>
      </c>
      <c r="C14" s="100">
        <v>1800</v>
      </c>
      <c r="D14" s="100">
        <v>1800</v>
      </c>
      <c r="E14" s="100">
        <v>1850</v>
      </c>
      <c r="F14" s="100">
        <v>1850</v>
      </c>
      <c r="G14" s="100">
        <v>1900</v>
      </c>
      <c r="H14" s="103">
        <v>1900</v>
      </c>
    </row>
    <row r="15" spans="1:8" x14ac:dyDescent="0.25">
      <c r="A15" s="62" t="s">
        <v>22</v>
      </c>
      <c r="B15" s="63" t="s">
        <v>23</v>
      </c>
      <c r="C15" s="63" t="s">
        <v>23</v>
      </c>
      <c r="D15" s="63" t="s">
        <v>23</v>
      </c>
      <c r="E15" s="63" t="s">
        <v>23</v>
      </c>
      <c r="F15" s="63" t="s">
        <v>23</v>
      </c>
      <c r="G15" s="63" t="s">
        <v>23</v>
      </c>
      <c r="H15" s="70" t="s">
        <v>23</v>
      </c>
    </row>
    <row r="16" spans="1:8" x14ac:dyDescent="0.25">
      <c r="A16" s="97" t="s">
        <v>117</v>
      </c>
      <c r="B16" s="63">
        <v>2</v>
      </c>
      <c r="C16" s="63">
        <v>3</v>
      </c>
      <c r="D16" s="63">
        <v>3</v>
      </c>
      <c r="E16" s="63">
        <v>4</v>
      </c>
      <c r="F16" s="63">
        <v>4</v>
      </c>
      <c r="G16" s="63">
        <v>4</v>
      </c>
      <c r="H16" s="70">
        <v>6</v>
      </c>
    </row>
    <row r="17" spans="1:8" ht="15.75" thickBot="1" x14ac:dyDescent="0.3">
      <c r="A17" s="45" t="s">
        <v>24</v>
      </c>
      <c r="B17" s="104">
        <v>1</v>
      </c>
      <c r="C17" s="104">
        <v>1</v>
      </c>
      <c r="D17" s="104">
        <v>1</v>
      </c>
      <c r="E17" s="104">
        <v>0.86</v>
      </c>
      <c r="F17" s="104">
        <v>0.86</v>
      </c>
      <c r="G17" s="104">
        <v>0.65</v>
      </c>
      <c r="H17" s="105">
        <v>0.56000000000000005</v>
      </c>
    </row>
    <row r="18" spans="1:8" x14ac:dyDescent="0.25">
      <c r="A18" s="64"/>
      <c r="B18" s="65"/>
      <c r="C18" s="65"/>
      <c r="D18" s="65"/>
      <c r="E18" s="65"/>
      <c r="F18" s="65"/>
      <c r="G18" s="65"/>
      <c r="H18" s="65"/>
    </row>
    <row r="19" spans="1:8" ht="15.75" thickBot="1" x14ac:dyDescent="0.3">
      <c r="A19" s="40" t="s">
        <v>25</v>
      </c>
      <c r="B19" s="65"/>
      <c r="C19" s="65"/>
      <c r="D19" s="65"/>
      <c r="E19" s="65"/>
      <c r="F19" s="65"/>
      <c r="G19" s="65"/>
      <c r="H19" s="65"/>
    </row>
    <row r="20" spans="1:8" x14ac:dyDescent="0.25">
      <c r="A20" s="38" t="s">
        <v>26</v>
      </c>
      <c r="B20" s="41">
        <v>120</v>
      </c>
      <c r="C20" s="41">
        <v>120</v>
      </c>
      <c r="D20" s="41">
        <v>120</v>
      </c>
      <c r="E20" s="41">
        <v>129</v>
      </c>
      <c r="F20" s="41">
        <v>129</v>
      </c>
      <c r="G20" s="41">
        <v>244</v>
      </c>
      <c r="H20" s="42">
        <v>315</v>
      </c>
    </row>
    <row r="21" spans="1:8" x14ac:dyDescent="0.25">
      <c r="A21" s="39" t="s">
        <v>27</v>
      </c>
      <c r="B21" s="43">
        <v>8</v>
      </c>
      <c r="C21" s="43">
        <v>12</v>
      </c>
      <c r="D21" s="43">
        <v>16</v>
      </c>
      <c r="E21" s="43">
        <v>19</v>
      </c>
      <c r="F21" s="43">
        <v>23</v>
      </c>
      <c r="G21" s="43">
        <v>25</v>
      </c>
      <c r="H21" s="44">
        <v>38</v>
      </c>
    </row>
    <row r="22" spans="1:8" ht="15.75" thickBot="1" x14ac:dyDescent="0.3">
      <c r="A22" s="45" t="s">
        <v>28</v>
      </c>
      <c r="B22" s="106">
        <v>4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7">
        <v>0</v>
      </c>
    </row>
    <row r="23" spans="1:8" x14ac:dyDescent="0.25">
      <c r="A23" s="64"/>
      <c r="B23" s="66"/>
      <c r="C23" s="65"/>
      <c r="D23" s="65"/>
      <c r="E23" s="65"/>
      <c r="F23" s="65"/>
      <c r="G23" s="65"/>
      <c r="H23" s="65"/>
    </row>
    <row r="24" spans="1:8" ht="15.75" thickBot="1" x14ac:dyDescent="0.3">
      <c r="A24" s="40" t="s">
        <v>29</v>
      </c>
      <c r="B24" s="65"/>
      <c r="C24" s="65"/>
      <c r="D24" s="65"/>
      <c r="E24" s="65"/>
      <c r="F24" s="65"/>
      <c r="G24" s="65"/>
      <c r="H24" s="65"/>
    </row>
    <row r="25" spans="1:8" x14ac:dyDescent="0.25">
      <c r="A25" s="67" t="s">
        <v>30</v>
      </c>
      <c r="B25" s="68" t="s">
        <v>15</v>
      </c>
      <c r="C25" s="68" t="s">
        <v>15</v>
      </c>
      <c r="D25" s="68" t="s">
        <v>15</v>
      </c>
      <c r="E25" s="68" t="s">
        <v>15</v>
      </c>
      <c r="F25" s="68" t="s">
        <v>15</v>
      </c>
      <c r="G25" s="68" t="s">
        <v>15</v>
      </c>
      <c r="H25" s="69" t="s">
        <v>15</v>
      </c>
    </row>
    <row r="26" spans="1:8" x14ac:dyDescent="0.25">
      <c r="A26" s="62" t="s">
        <v>31</v>
      </c>
      <c r="B26" s="63" t="s">
        <v>32</v>
      </c>
      <c r="C26" s="63" t="s">
        <v>32</v>
      </c>
      <c r="D26" s="63" t="s">
        <v>32</v>
      </c>
      <c r="E26" s="63" t="s">
        <v>32</v>
      </c>
      <c r="F26" s="63" t="s">
        <v>32</v>
      </c>
      <c r="G26" s="63" t="s">
        <v>32</v>
      </c>
      <c r="H26" s="70" t="s">
        <v>32</v>
      </c>
    </row>
    <row r="27" spans="1:8" x14ac:dyDescent="0.25">
      <c r="A27" s="62" t="s">
        <v>33</v>
      </c>
      <c r="B27" s="108">
        <v>25</v>
      </c>
      <c r="C27" s="108">
        <v>25</v>
      </c>
      <c r="D27" s="108">
        <v>25</v>
      </c>
      <c r="E27" s="108">
        <v>25</v>
      </c>
      <c r="F27" s="120">
        <v>50</v>
      </c>
      <c r="G27" s="108">
        <v>50</v>
      </c>
      <c r="H27" s="111">
        <v>50</v>
      </c>
    </row>
    <row r="28" spans="1:8" x14ac:dyDescent="0.25">
      <c r="A28" s="62" t="s">
        <v>34</v>
      </c>
      <c r="B28" s="63">
        <v>2</v>
      </c>
      <c r="C28" s="63">
        <v>2</v>
      </c>
      <c r="D28" s="63">
        <v>2</v>
      </c>
      <c r="E28" s="63">
        <v>2</v>
      </c>
      <c r="F28" s="63">
        <v>2</v>
      </c>
      <c r="G28" s="63">
        <v>2</v>
      </c>
      <c r="H28" s="70">
        <v>2</v>
      </c>
    </row>
    <row r="29" spans="1:8" x14ac:dyDescent="0.25">
      <c r="A29" s="62" t="s">
        <v>35</v>
      </c>
      <c r="B29" s="71" t="s">
        <v>36</v>
      </c>
      <c r="C29" s="71" t="s">
        <v>36</v>
      </c>
      <c r="D29" s="71" t="s">
        <v>36</v>
      </c>
      <c r="E29" s="71" t="s">
        <v>36</v>
      </c>
      <c r="F29" s="71" t="s">
        <v>36</v>
      </c>
      <c r="G29" s="71" t="s">
        <v>36</v>
      </c>
      <c r="H29" s="72" t="s">
        <v>36</v>
      </c>
    </row>
    <row r="30" spans="1:8" x14ac:dyDescent="0.25">
      <c r="A30" s="62" t="s">
        <v>37</v>
      </c>
      <c r="B30" s="63" t="s">
        <v>15</v>
      </c>
      <c r="C30" s="63" t="s">
        <v>15</v>
      </c>
      <c r="D30" s="63" t="s">
        <v>15</v>
      </c>
      <c r="E30" s="63" t="s">
        <v>15</v>
      </c>
      <c r="F30" s="63" t="s">
        <v>15</v>
      </c>
      <c r="G30" s="63" t="s">
        <v>15</v>
      </c>
      <c r="H30" s="70" t="s">
        <v>15</v>
      </c>
    </row>
    <row r="31" spans="1:8" x14ac:dyDescent="0.25">
      <c r="A31" s="62" t="s">
        <v>38</v>
      </c>
      <c r="B31" s="63" t="s">
        <v>39</v>
      </c>
      <c r="C31" s="63" t="s">
        <v>39</v>
      </c>
      <c r="D31" s="63" t="s">
        <v>39</v>
      </c>
      <c r="E31" s="63" t="s">
        <v>39</v>
      </c>
      <c r="F31" s="63" t="s">
        <v>39</v>
      </c>
      <c r="G31" s="63" t="s">
        <v>39</v>
      </c>
      <c r="H31" s="70" t="s">
        <v>39</v>
      </c>
    </row>
    <row r="32" spans="1:8" x14ac:dyDescent="0.25">
      <c r="A32" s="62" t="s">
        <v>40</v>
      </c>
      <c r="B32" s="109">
        <v>300</v>
      </c>
      <c r="C32" s="109">
        <v>300</v>
      </c>
      <c r="D32" s="109">
        <v>300</v>
      </c>
      <c r="E32" s="109">
        <v>300</v>
      </c>
      <c r="F32" s="109">
        <v>300</v>
      </c>
      <c r="G32" s="119">
        <v>500</v>
      </c>
      <c r="H32" s="112">
        <v>500</v>
      </c>
    </row>
    <row r="33" spans="1:8" ht="15.75" thickBot="1" x14ac:dyDescent="0.3">
      <c r="A33" s="75" t="s">
        <v>41</v>
      </c>
      <c r="B33" s="110" t="s">
        <v>36</v>
      </c>
      <c r="C33" s="110" t="s">
        <v>36</v>
      </c>
      <c r="D33" s="110" t="s">
        <v>36</v>
      </c>
      <c r="E33" s="110" t="s">
        <v>36</v>
      </c>
      <c r="F33" s="110" t="s">
        <v>36</v>
      </c>
      <c r="G33" s="110" t="s">
        <v>36</v>
      </c>
      <c r="H33" s="113" t="s">
        <v>36</v>
      </c>
    </row>
    <row r="34" spans="1:8" s="21" customFormat="1" x14ac:dyDescent="0.25">
      <c r="A34" s="64"/>
      <c r="B34" s="116"/>
      <c r="C34" s="116"/>
      <c r="D34" s="116"/>
      <c r="E34" s="116"/>
      <c r="F34" s="116"/>
      <c r="G34" s="116"/>
      <c r="H34" s="116"/>
    </row>
    <row r="35" spans="1:8" s="21" customFormat="1" ht="15.75" thickBot="1" x14ac:dyDescent="0.3">
      <c r="A35" s="40" t="s">
        <v>116</v>
      </c>
      <c r="B35" s="116"/>
      <c r="C35" s="116"/>
      <c r="D35" s="116"/>
      <c r="E35" s="116"/>
      <c r="F35" s="116"/>
      <c r="G35" s="116"/>
      <c r="H35" s="116"/>
    </row>
    <row r="36" spans="1:8" s="21" customFormat="1" x14ac:dyDescent="0.25">
      <c r="A36" s="67" t="s">
        <v>111</v>
      </c>
      <c r="B36" s="123">
        <v>2</v>
      </c>
      <c r="C36" s="123">
        <v>2</v>
      </c>
      <c r="D36" s="123">
        <v>2</v>
      </c>
      <c r="E36" s="123">
        <v>2</v>
      </c>
      <c r="F36" s="123">
        <v>2</v>
      </c>
      <c r="G36" s="123">
        <v>2</v>
      </c>
      <c r="H36" s="137">
        <v>2</v>
      </c>
    </row>
    <row r="37" spans="1:8" s="21" customFormat="1" x14ac:dyDescent="0.25">
      <c r="A37" s="62" t="s">
        <v>112</v>
      </c>
      <c r="B37" s="122">
        <v>2.5</v>
      </c>
      <c r="C37" s="122">
        <v>2.5</v>
      </c>
      <c r="D37" s="122">
        <v>2.5</v>
      </c>
      <c r="E37" s="122">
        <v>2.5</v>
      </c>
      <c r="F37" s="122">
        <v>2.5</v>
      </c>
      <c r="G37" s="122">
        <v>2.5</v>
      </c>
      <c r="H37" s="138">
        <v>2.5</v>
      </c>
    </row>
    <row r="38" spans="1:8" s="21" customFormat="1" x14ac:dyDescent="0.25">
      <c r="A38" s="62" t="s">
        <v>113</v>
      </c>
      <c r="B38" s="122">
        <v>2.8</v>
      </c>
      <c r="C38" s="122">
        <v>2.8</v>
      </c>
      <c r="D38" s="122">
        <v>2.8</v>
      </c>
      <c r="E38" s="122">
        <v>2.8</v>
      </c>
      <c r="F38" s="122">
        <v>2.8</v>
      </c>
      <c r="G38" s="122">
        <v>2.8</v>
      </c>
      <c r="H38" s="138">
        <v>2.8</v>
      </c>
    </row>
    <row r="39" spans="1:8" s="21" customFormat="1" x14ac:dyDescent="0.25">
      <c r="A39" s="62" t="s">
        <v>114</v>
      </c>
      <c r="B39" s="122">
        <v>3</v>
      </c>
      <c r="C39" s="122">
        <v>3</v>
      </c>
      <c r="D39" s="122">
        <v>3</v>
      </c>
      <c r="E39" s="122">
        <v>3</v>
      </c>
      <c r="F39" s="122">
        <v>3</v>
      </c>
      <c r="G39" s="122">
        <v>3</v>
      </c>
      <c r="H39" s="138">
        <v>3</v>
      </c>
    </row>
    <row r="40" spans="1:8" s="21" customFormat="1" ht="15.75" thickBot="1" x14ac:dyDescent="0.3">
      <c r="A40" s="75" t="s">
        <v>115</v>
      </c>
      <c r="B40" s="124">
        <v>3</v>
      </c>
      <c r="C40" s="124">
        <v>3</v>
      </c>
      <c r="D40" s="124">
        <v>3</v>
      </c>
      <c r="E40" s="124">
        <v>3</v>
      </c>
      <c r="F40" s="124">
        <v>3</v>
      </c>
      <c r="G40" s="124">
        <v>3</v>
      </c>
      <c r="H40" s="139">
        <v>3</v>
      </c>
    </row>
    <row r="41" spans="1:8" s="21" customFormat="1" x14ac:dyDescent="0.25">
      <c r="A41" s="64"/>
      <c r="B41" s="116"/>
      <c r="C41" s="116"/>
      <c r="D41" s="116"/>
      <c r="E41" s="116"/>
      <c r="F41" s="116"/>
      <c r="G41" s="116"/>
      <c r="H41" s="116"/>
    </row>
    <row r="42" spans="1:8" ht="15.75" thickBot="1" x14ac:dyDescent="0.3">
      <c r="A42" s="36" t="s">
        <v>86</v>
      </c>
      <c r="B42" s="73"/>
      <c r="C42" s="73"/>
      <c r="D42" s="73"/>
      <c r="E42" s="73"/>
      <c r="F42" s="73"/>
      <c r="G42" s="73"/>
      <c r="H42" s="74"/>
    </row>
    <row r="43" spans="1:8" x14ac:dyDescent="0.25">
      <c r="A43" s="67" t="s">
        <v>42</v>
      </c>
      <c r="B43" s="68" t="s">
        <v>15</v>
      </c>
      <c r="C43" s="68" t="s">
        <v>15</v>
      </c>
      <c r="D43" s="68" t="s">
        <v>15</v>
      </c>
      <c r="E43" s="68" t="s">
        <v>15</v>
      </c>
      <c r="F43" s="68" t="s">
        <v>15</v>
      </c>
      <c r="G43" s="68" t="s">
        <v>15</v>
      </c>
      <c r="H43" s="69" t="s">
        <v>15</v>
      </c>
    </row>
    <row r="44" spans="1:8" x14ac:dyDescent="0.25">
      <c r="A44" s="62" t="s">
        <v>43</v>
      </c>
      <c r="B44" s="63" t="s">
        <v>44</v>
      </c>
      <c r="C44" s="63" t="s">
        <v>44</v>
      </c>
      <c r="D44" s="63" t="s">
        <v>44</v>
      </c>
      <c r="E44" s="63" t="s">
        <v>44</v>
      </c>
      <c r="F44" s="63" t="s">
        <v>44</v>
      </c>
      <c r="G44" s="63" t="s">
        <v>44</v>
      </c>
      <c r="H44" s="70" t="s">
        <v>44</v>
      </c>
    </row>
    <row r="45" spans="1:8" x14ac:dyDescent="0.25">
      <c r="A45" s="62" t="s">
        <v>45</v>
      </c>
      <c r="B45" s="63" t="s">
        <v>46</v>
      </c>
      <c r="C45" s="63" t="s">
        <v>46</v>
      </c>
      <c r="D45" s="63" t="s">
        <v>46</v>
      </c>
      <c r="E45" s="63" t="s">
        <v>46</v>
      </c>
      <c r="F45" s="63" t="s">
        <v>46</v>
      </c>
      <c r="G45" s="63" t="s">
        <v>46</v>
      </c>
      <c r="H45" s="70" t="s">
        <v>46</v>
      </c>
    </row>
    <row r="46" spans="1:8" x14ac:dyDescent="0.25">
      <c r="A46" s="62" t="s">
        <v>47</v>
      </c>
      <c r="B46" s="63" t="s">
        <v>48</v>
      </c>
      <c r="C46" s="63" t="s">
        <v>48</v>
      </c>
      <c r="D46" s="63" t="s">
        <v>48</v>
      </c>
      <c r="E46" s="63" t="s">
        <v>48</v>
      </c>
      <c r="F46" s="63" t="s">
        <v>48</v>
      </c>
      <c r="G46" s="63" t="s">
        <v>48</v>
      </c>
      <c r="H46" s="70" t="s">
        <v>48</v>
      </c>
    </row>
    <row r="47" spans="1:8" ht="15.75" thickBot="1" x14ac:dyDescent="0.3">
      <c r="A47" s="117" t="s">
        <v>85</v>
      </c>
      <c r="B47" s="118" t="s">
        <v>36</v>
      </c>
      <c r="C47" s="118" t="s">
        <v>36</v>
      </c>
      <c r="D47" s="118" t="s">
        <v>36</v>
      </c>
      <c r="E47" s="118" t="s">
        <v>36</v>
      </c>
      <c r="F47" s="118" t="s">
        <v>36</v>
      </c>
      <c r="G47" s="118" t="s">
        <v>36</v>
      </c>
      <c r="H47" s="125" t="s">
        <v>36</v>
      </c>
    </row>
    <row r="48" spans="1:8" x14ac:dyDescent="0.25">
      <c r="A48" s="61"/>
      <c r="B48" s="74"/>
      <c r="C48" s="74"/>
      <c r="D48" s="74"/>
      <c r="E48" s="74"/>
      <c r="F48" s="74"/>
      <c r="G48" s="74"/>
      <c r="H48" s="74"/>
    </row>
    <row r="49" spans="1:8" ht="15.75" thickBot="1" x14ac:dyDescent="0.3">
      <c r="A49" s="36" t="s">
        <v>58</v>
      </c>
      <c r="B49" s="74"/>
      <c r="C49" s="74"/>
      <c r="D49" s="74"/>
      <c r="E49" s="74"/>
      <c r="F49" s="74"/>
      <c r="G49" s="74"/>
      <c r="H49" s="74"/>
    </row>
    <row r="50" spans="1:8" x14ac:dyDescent="0.25">
      <c r="A50" s="67" t="s">
        <v>59</v>
      </c>
      <c r="B50" s="114">
        <v>10</v>
      </c>
      <c r="C50" s="114">
        <v>10</v>
      </c>
      <c r="D50" s="114">
        <v>10</v>
      </c>
      <c r="E50" s="114">
        <v>10</v>
      </c>
      <c r="F50" s="114">
        <v>10</v>
      </c>
      <c r="G50" s="114">
        <v>10</v>
      </c>
      <c r="H50" s="140">
        <v>13</v>
      </c>
    </row>
    <row r="51" spans="1:8" x14ac:dyDescent="0.25">
      <c r="A51" s="62" t="s">
        <v>60</v>
      </c>
      <c r="B51" s="80">
        <v>2</v>
      </c>
      <c r="C51" s="80">
        <v>2</v>
      </c>
      <c r="D51" s="80">
        <v>2</v>
      </c>
      <c r="E51" s="80">
        <v>2</v>
      </c>
      <c r="F51" s="80">
        <v>2</v>
      </c>
      <c r="G51" s="80">
        <v>2</v>
      </c>
      <c r="H51" s="141">
        <v>2</v>
      </c>
    </row>
    <row r="52" spans="1:8" ht="15.75" thickBot="1" x14ac:dyDescent="0.3">
      <c r="A52" s="75" t="s">
        <v>61</v>
      </c>
      <c r="B52" s="81">
        <v>2</v>
      </c>
      <c r="C52" s="81">
        <v>2</v>
      </c>
      <c r="D52" s="81">
        <v>2</v>
      </c>
      <c r="E52" s="81">
        <v>2</v>
      </c>
      <c r="F52" s="81">
        <v>2</v>
      </c>
      <c r="G52" s="81">
        <v>2</v>
      </c>
      <c r="H52" s="142">
        <v>2</v>
      </c>
    </row>
    <row r="53" spans="1:8" s="21" customFormat="1" x14ac:dyDescent="0.25">
      <c r="A53" s="61"/>
      <c r="B53" s="74"/>
      <c r="C53" s="74"/>
      <c r="D53" s="74"/>
      <c r="E53" s="74"/>
      <c r="F53" s="74"/>
      <c r="G53" s="74"/>
      <c r="H53" s="74"/>
    </row>
    <row r="54" spans="1:8" ht="15.75" thickBot="1" x14ac:dyDescent="0.3">
      <c r="A54" s="36" t="s">
        <v>62</v>
      </c>
      <c r="B54" s="74"/>
      <c r="C54" s="74"/>
      <c r="D54" s="74"/>
      <c r="E54" s="74"/>
      <c r="F54" s="74"/>
      <c r="G54" s="74"/>
      <c r="H54" s="74"/>
    </row>
    <row r="55" spans="1:8" x14ac:dyDescent="0.25">
      <c r="A55" s="67" t="s">
        <v>63</v>
      </c>
      <c r="B55" s="68" t="s">
        <v>126</v>
      </c>
      <c r="C55" s="68" t="s">
        <v>126</v>
      </c>
      <c r="D55" s="68" t="s">
        <v>126</v>
      </c>
      <c r="E55" s="68" t="s">
        <v>126</v>
      </c>
      <c r="F55" s="68" t="s">
        <v>126</v>
      </c>
      <c r="G55" s="68" t="s">
        <v>126</v>
      </c>
      <c r="H55" s="69" t="s">
        <v>126</v>
      </c>
    </row>
    <row r="56" spans="1:8" x14ac:dyDescent="0.25">
      <c r="A56" s="62" t="s">
        <v>64</v>
      </c>
      <c r="B56" s="63" t="s">
        <v>65</v>
      </c>
      <c r="C56" s="63" t="s">
        <v>65</v>
      </c>
      <c r="D56" s="63" t="s">
        <v>65</v>
      </c>
      <c r="E56" s="63" t="s">
        <v>65</v>
      </c>
      <c r="F56" s="63" t="s">
        <v>65</v>
      </c>
      <c r="G56" s="63" t="s">
        <v>65</v>
      </c>
      <c r="H56" s="70" t="s">
        <v>65</v>
      </c>
    </row>
    <row r="57" spans="1:8" s="21" customFormat="1" x14ac:dyDescent="0.25">
      <c r="A57" s="62" t="s">
        <v>106</v>
      </c>
      <c r="B57" s="80">
        <v>2</v>
      </c>
      <c r="C57" s="80">
        <v>2</v>
      </c>
      <c r="D57" s="80">
        <v>2</v>
      </c>
      <c r="E57" s="80">
        <v>2</v>
      </c>
      <c r="F57" s="80">
        <v>2</v>
      </c>
      <c r="G57" s="80">
        <v>2</v>
      </c>
      <c r="H57" s="141">
        <v>2</v>
      </c>
    </row>
    <row r="58" spans="1:8" s="21" customFormat="1" x14ac:dyDescent="0.25">
      <c r="A58" s="62" t="s">
        <v>107</v>
      </c>
      <c r="B58" s="121">
        <v>30</v>
      </c>
      <c r="C58" s="121">
        <v>30</v>
      </c>
      <c r="D58" s="121">
        <v>30</v>
      </c>
      <c r="E58" s="121">
        <v>30</v>
      </c>
      <c r="F58" s="121">
        <v>30</v>
      </c>
      <c r="G58" s="121">
        <v>30</v>
      </c>
      <c r="H58" s="143">
        <v>30</v>
      </c>
    </row>
    <row r="59" spans="1:8" s="21" customFormat="1" x14ac:dyDescent="0.25">
      <c r="A59" s="62" t="s">
        <v>108</v>
      </c>
      <c r="B59" s="121" t="s">
        <v>109</v>
      </c>
      <c r="C59" s="121" t="s">
        <v>109</v>
      </c>
      <c r="D59" s="121" t="s">
        <v>109</v>
      </c>
      <c r="E59" s="121" t="s">
        <v>109</v>
      </c>
      <c r="F59" s="121" t="s">
        <v>109</v>
      </c>
      <c r="G59" s="121" t="s">
        <v>109</v>
      </c>
      <c r="H59" s="143" t="s">
        <v>109</v>
      </c>
    </row>
    <row r="60" spans="1:8" x14ac:dyDescent="0.25">
      <c r="A60" s="62" t="s">
        <v>66</v>
      </c>
      <c r="B60" s="63" t="s">
        <v>36</v>
      </c>
      <c r="C60" s="63" t="s">
        <v>36</v>
      </c>
      <c r="D60" s="63" t="s">
        <v>36</v>
      </c>
      <c r="E60" s="63" t="s">
        <v>36</v>
      </c>
      <c r="F60" s="63" t="s">
        <v>36</v>
      </c>
      <c r="G60" s="63" t="s">
        <v>36</v>
      </c>
      <c r="H60" s="70" t="s">
        <v>36</v>
      </c>
    </row>
    <row r="61" spans="1:8" ht="15.75" thickBot="1" x14ac:dyDescent="0.3">
      <c r="A61" s="117" t="s">
        <v>88</v>
      </c>
      <c r="B61" s="118" t="s">
        <v>36</v>
      </c>
      <c r="C61" s="118" t="s">
        <v>36</v>
      </c>
      <c r="D61" s="118" t="s">
        <v>36</v>
      </c>
      <c r="E61" s="118" t="s">
        <v>36</v>
      </c>
      <c r="F61" s="118" t="s">
        <v>36</v>
      </c>
      <c r="G61" s="118" t="s">
        <v>36</v>
      </c>
      <c r="H61" s="125" t="s">
        <v>36</v>
      </c>
    </row>
    <row r="62" spans="1:8" s="21" customFormat="1" x14ac:dyDescent="0.25">
      <c r="A62" s="61"/>
      <c r="B62" s="74"/>
      <c r="C62" s="74"/>
      <c r="D62" s="74"/>
      <c r="E62" s="74"/>
      <c r="F62" s="74"/>
      <c r="G62" s="74"/>
      <c r="H62" s="74"/>
    </row>
    <row r="63" spans="1:8" ht="15.75" thickBot="1" x14ac:dyDescent="0.3">
      <c r="A63" s="36" t="s">
        <v>87</v>
      </c>
      <c r="B63" s="74"/>
      <c r="C63" s="74"/>
      <c r="D63" s="74"/>
      <c r="E63" s="74"/>
      <c r="F63" s="74"/>
      <c r="G63" s="74"/>
      <c r="H63" s="74"/>
    </row>
    <row r="64" spans="1:8" s="21" customFormat="1" x14ac:dyDescent="0.25">
      <c r="A64" s="67" t="s">
        <v>89</v>
      </c>
      <c r="B64" s="68" t="s">
        <v>36</v>
      </c>
      <c r="C64" s="68" t="s">
        <v>36</v>
      </c>
      <c r="D64" s="68" t="s">
        <v>36</v>
      </c>
      <c r="E64" s="68" t="s">
        <v>36</v>
      </c>
      <c r="F64" s="68" t="s">
        <v>36</v>
      </c>
      <c r="G64" s="68" t="s">
        <v>36</v>
      </c>
      <c r="H64" s="69" t="s">
        <v>36</v>
      </c>
    </row>
    <row r="65" spans="1:8" x14ac:dyDescent="0.25">
      <c r="A65" s="62" t="s">
        <v>49</v>
      </c>
      <c r="B65" s="63" t="s">
        <v>36</v>
      </c>
      <c r="C65" s="63" t="s">
        <v>36</v>
      </c>
      <c r="D65" s="63" t="s">
        <v>36</v>
      </c>
      <c r="E65" s="63" t="s">
        <v>36</v>
      </c>
      <c r="F65" s="63" t="s">
        <v>36</v>
      </c>
      <c r="G65" s="63" t="s">
        <v>36</v>
      </c>
      <c r="H65" s="70" t="s">
        <v>36</v>
      </c>
    </row>
    <row r="66" spans="1:8" x14ac:dyDescent="0.25">
      <c r="A66" s="62" t="s">
        <v>50</v>
      </c>
      <c r="B66" s="63" t="s">
        <v>36</v>
      </c>
      <c r="C66" s="63" t="s">
        <v>36</v>
      </c>
      <c r="D66" s="63" t="s">
        <v>36</v>
      </c>
      <c r="E66" s="63" t="s">
        <v>36</v>
      </c>
      <c r="F66" s="63" t="s">
        <v>36</v>
      </c>
      <c r="G66" s="63" t="s">
        <v>36</v>
      </c>
      <c r="H66" s="70" t="s">
        <v>36</v>
      </c>
    </row>
    <row r="67" spans="1:8" x14ac:dyDescent="0.25">
      <c r="A67" s="62" t="s">
        <v>51</v>
      </c>
      <c r="B67" s="63" t="s">
        <v>52</v>
      </c>
      <c r="C67" s="63" t="s">
        <v>52</v>
      </c>
      <c r="D67" s="63" t="s">
        <v>52</v>
      </c>
      <c r="E67" s="63" t="s">
        <v>52</v>
      </c>
      <c r="F67" s="63" t="s">
        <v>52</v>
      </c>
      <c r="G67" s="63" t="s">
        <v>52</v>
      </c>
      <c r="H67" s="70" t="s">
        <v>52</v>
      </c>
    </row>
    <row r="68" spans="1:8" x14ac:dyDescent="0.25">
      <c r="A68" s="62" t="s">
        <v>7</v>
      </c>
      <c r="B68" s="98">
        <v>100</v>
      </c>
      <c r="C68" s="98">
        <v>150</v>
      </c>
      <c r="D68" s="98">
        <v>200</v>
      </c>
      <c r="E68" s="98">
        <v>250</v>
      </c>
      <c r="F68" s="98">
        <v>300</v>
      </c>
      <c r="G68" s="98">
        <v>340</v>
      </c>
      <c r="H68" s="102">
        <v>510</v>
      </c>
    </row>
    <row r="69" spans="1:8" ht="42.75" x14ac:dyDescent="0.25">
      <c r="A69" s="62" t="s">
        <v>53</v>
      </c>
      <c r="B69" s="78" t="s">
        <v>54</v>
      </c>
      <c r="C69" s="78" t="s">
        <v>54</v>
      </c>
      <c r="D69" s="78" t="s">
        <v>54</v>
      </c>
      <c r="E69" s="78" t="s">
        <v>55</v>
      </c>
      <c r="F69" s="78" t="s">
        <v>55</v>
      </c>
      <c r="G69" s="78" t="s">
        <v>55</v>
      </c>
      <c r="H69" s="79" t="s">
        <v>55</v>
      </c>
    </row>
    <row r="70" spans="1:8" x14ac:dyDescent="0.25">
      <c r="A70" s="62" t="s">
        <v>56</v>
      </c>
      <c r="B70" s="63" t="s">
        <v>57</v>
      </c>
      <c r="C70" s="63" t="s">
        <v>57</v>
      </c>
      <c r="D70" s="63" t="s">
        <v>57</v>
      </c>
      <c r="E70" s="63" t="s">
        <v>57</v>
      </c>
      <c r="F70" s="63" t="s">
        <v>57</v>
      </c>
      <c r="G70" s="63" t="s">
        <v>57</v>
      </c>
      <c r="H70" s="70" t="s">
        <v>57</v>
      </c>
    </row>
    <row r="71" spans="1:8" s="21" customFormat="1" ht="15.75" thickBot="1" x14ac:dyDescent="0.3">
      <c r="A71" s="75" t="s">
        <v>90</v>
      </c>
      <c r="B71" s="76" t="s">
        <v>36</v>
      </c>
      <c r="C71" s="76" t="s">
        <v>36</v>
      </c>
      <c r="D71" s="76" t="s">
        <v>36</v>
      </c>
      <c r="E71" s="76" t="s">
        <v>36</v>
      </c>
      <c r="F71" s="76" t="s">
        <v>36</v>
      </c>
      <c r="G71" s="76" t="s">
        <v>36</v>
      </c>
      <c r="H71" s="77" t="s">
        <v>36</v>
      </c>
    </row>
    <row r="72" spans="1:8" s="21" customFormat="1" x14ac:dyDescent="0.25">
      <c r="A72" s="61"/>
      <c r="B72" s="74"/>
      <c r="C72" s="74"/>
      <c r="D72" s="74"/>
      <c r="E72" s="74"/>
      <c r="F72" s="74"/>
      <c r="G72" s="74"/>
      <c r="H72" s="74"/>
    </row>
    <row r="73" spans="1:8" ht="15.75" thickBot="1" x14ac:dyDescent="0.3">
      <c r="A73" s="36" t="s">
        <v>91</v>
      </c>
      <c r="B73" s="74"/>
      <c r="C73" s="74"/>
      <c r="D73" s="74"/>
      <c r="E73" s="74"/>
      <c r="F73" s="74"/>
      <c r="G73" s="74"/>
      <c r="H73" s="74"/>
    </row>
    <row r="74" spans="1:8" ht="15.75" thickBot="1" x14ac:dyDescent="0.3">
      <c r="A74" s="82" t="s">
        <v>67</v>
      </c>
      <c r="B74" s="83" t="s">
        <v>15</v>
      </c>
      <c r="C74" s="83" t="s">
        <v>15</v>
      </c>
      <c r="D74" s="83" t="s">
        <v>15</v>
      </c>
      <c r="E74" s="83" t="s">
        <v>15</v>
      </c>
      <c r="F74" s="83" t="s">
        <v>15</v>
      </c>
      <c r="G74" s="83" t="s">
        <v>15</v>
      </c>
      <c r="H74" s="84" t="s">
        <v>15</v>
      </c>
    </row>
    <row r="75" spans="1:8" x14ac:dyDescent="0.25">
      <c r="A75" s="61"/>
      <c r="B75" s="74"/>
      <c r="C75" s="74"/>
      <c r="D75" s="74"/>
      <c r="E75" s="74"/>
      <c r="F75" s="74"/>
      <c r="G75" s="74"/>
      <c r="H75" s="74"/>
    </row>
    <row r="76" spans="1:8" ht="15.75" thickBot="1" x14ac:dyDescent="0.3">
      <c r="A76" s="36" t="s">
        <v>92</v>
      </c>
      <c r="B76" s="74"/>
      <c r="C76" s="74"/>
      <c r="D76" s="74"/>
      <c r="E76" s="74"/>
      <c r="F76" s="74"/>
      <c r="G76" s="74"/>
      <c r="H76" s="74"/>
    </row>
    <row r="77" spans="1:8" ht="15.75" thickBot="1" x14ac:dyDescent="0.3">
      <c r="A77" s="82" t="s">
        <v>110</v>
      </c>
      <c r="B77" s="83" t="s">
        <v>15</v>
      </c>
      <c r="C77" s="83" t="s">
        <v>15</v>
      </c>
      <c r="D77" s="83" t="s">
        <v>15</v>
      </c>
      <c r="E77" s="83" t="s">
        <v>15</v>
      </c>
      <c r="F77" s="83" t="s">
        <v>15</v>
      </c>
      <c r="G77" s="83" t="s">
        <v>15</v>
      </c>
      <c r="H77" s="84" t="s">
        <v>15</v>
      </c>
    </row>
    <row r="78" spans="1:8" x14ac:dyDescent="0.25">
      <c r="A78" s="61"/>
      <c r="B78" s="74"/>
      <c r="C78" s="74"/>
      <c r="D78" s="74"/>
      <c r="E78" s="74"/>
      <c r="F78" s="74"/>
      <c r="G78" s="74"/>
      <c r="H78" s="74"/>
    </row>
    <row r="79" spans="1:8" s="21" customFormat="1" ht="15.75" thickBot="1" x14ac:dyDescent="0.3">
      <c r="A79" s="36" t="s">
        <v>93</v>
      </c>
      <c r="B79" s="74"/>
      <c r="C79" s="74"/>
      <c r="D79" s="74"/>
      <c r="E79" s="74"/>
      <c r="F79" s="74"/>
      <c r="G79" s="74"/>
      <c r="H79" s="74"/>
    </row>
    <row r="80" spans="1:8" s="21" customFormat="1" x14ac:dyDescent="0.25">
      <c r="A80" s="67" t="s">
        <v>94</v>
      </c>
      <c r="B80" s="68" t="s">
        <v>36</v>
      </c>
      <c r="C80" s="68" t="s">
        <v>36</v>
      </c>
      <c r="D80" s="68" t="s">
        <v>36</v>
      </c>
      <c r="E80" s="68" t="s">
        <v>36</v>
      </c>
      <c r="F80" s="68" t="s">
        <v>36</v>
      </c>
      <c r="G80" s="68" t="s">
        <v>36</v>
      </c>
      <c r="H80" s="69" t="s">
        <v>36</v>
      </c>
    </row>
    <row r="81" spans="1:8" s="21" customFormat="1" x14ac:dyDescent="0.25">
      <c r="A81" s="62" t="s">
        <v>95</v>
      </c>
      <c r="B81" s="63" t="s">
        <v>36</v>
      </c>
      <c r="C81" s="63" t="s">
        <v>36</v>
      </c>
      <c r="D81" s="63" t="s">
        <v>36</v>
      </c>
      <c r="E81" s="63" t="s">
        <v>36</v>
      </c>
      <c r="F81" s="63" t="s">
        <v>36</v>
      </c>
      <c r="G81" s="63" t="s">
        <v>36</v>
      </c>
      <c r="H81" s="70" t="s">
        <v>36</v>
      </c>
    </row>
    <row r="82" spans="1:8" s="21" customFormat="1" x14ac:dyDescent="0.25">
      <c r="A82" s="62" t="s">
        <v>96</v>
      </c>
      <c r="B82" s="63" t="s">
        <v>15</v>
      </c>
      <c r="C82" s="63" t="s">
        <v>15</v>
      </c>
      <c r="D82" s="63" t="s">
        <v>15</v>
      </c>
      <c r="E82" s="63" t="s">
        <v>15</v>
      </c>
      <c r="F82" s="63" t="s">
        <v>15</v>
      </c>
      <c r="G82" s="63" t="s">
        <v>15</v>
      </c>
      <c r="H82" s="70" t="s">
        <v>15</v>
      </c>
    </row>
    <row r="83" spans="1:8" s="21" customFormat="1" x14ac:dyDescent="0.25">
      <c r="A83" s="62" t="s">
        <v>97</v>
      </c>
      <c r="B83" s="63" t="s">
        <v>98</v>
      </c>
      <c r="C83" s="63" t="s">
        <v>98</v>
      </c>
      <c r="D83" s="63" t="s">
        <v>98</v>
      </c>
      <c r="E83" s="63" t="s">
        <v>98</v>
      </c>
      <c r="F83" s="63" t="s">
        <v>98</v>
      </c>
      <c r="G83" s="63" t="s">
        <v>98</v>
      </c>
      <c r="H83" s="70" t="s">
        <v>98</v>
      </c>
    </row>
    <row r="84" spans="1:8" s="21" customFormat="1" x14ac:dyDescent="0.25">
      <c r="A84" s="62" t="s">
        <v>99</v>
      </c>
      <c r="B84" s="63" t="s">
        <v>36</v>
      </c>
      <c r="C84" s="63" t="s">
        <v>36</v>
      </c>
      <c r="D84" s="63" t="s">
        <v>36</v>
      </c>
      <c r="E84" s="63" t="s">
        <v>36</v>
      </c>
      <c r="F84" s="63" t="s">
        <v>36</v>
      </c>
      <c r="G84" s="63" t="s">
        <v>36</v>
      </c>
      <c r="H84" s="70" t="s">
        <v>36</v>
      </c>
    </row>
    <row r="85" spans="1:8" s="21" customFormat="1" x14ac:dyDescent="0.25">
      <c r="A85" s="62" t="s">
        <v>100</v>
      </c>
      <c r="B85" s="63" t="s">
        <v>36</v>
      </c>
      <c r="C85" s="63" t="s">
        <v>36</v>
      </c>
      <c r="D85" s="63" t="s">
        <v>36</v>
      </c>
      <c r="E85" s="63" t="s">
        <v>36</v>
      </c>
      <c r="F85" s="63" t="s">
        <v>36</v>
      </c>
      <c r="G85" s="63" t="s">
        <v>36</v>
      </c>
      <c r="H85" s="70" t="s">
        <v>36</v>
      </c>
    </row>
    <row r="86" spans="1:8" s="21" customFormat="1" x14ac:dyDescent="0.25">
      <c r="A86" s="62" t="s">
        <v>101</v>
      </c>
      <c r="B86" s="63" t="s">
        <v>36</v>
      </c>
      <c r="C86" s="63" t="s">
        <v>36</v>
      </c>
      <c r="D86" s="63" t="s">
        <v>36</v>
      </c>
      <c r="E86" s="63" t="s">
        <v>36</v>
      </c>
      <c r="F86" s="63" t="s">
        <v>36</v>
      </c>
      <c r="G86" s="63" t="s">
        <v>36</v>
      </c>
      <c r="H86" s="70" t="s">
        <v>36</v>
      </c>
    </row>
    <row r="87" spans="1:8" s="21" customFormat="1" x14ac:dyDescent="0.25">
      <c r="A87" s="62" t="s">
        <v>102</v>
      </c>
      <c r="B87" s="63" t="s">
        <v>15</v>
      </c>
      <c r="C87" s="63" t="s">
        <v>15</v>
      </c>
      <c r="D87" s="63" t="s">
        <v>15</v>
      </c>
      <c r="E87" s="63" t="s">
        <v>15</v>
      </c>
      <c r="F87" s="63" t="s">
        <v>15</v>
      </c>
      <c r="G87" s="63" t="s">
        <v>15</v>
      </c>
      <c r="H87" s="70" t="s">
        <v>15</v>
      </c>
    </row>
    <row r="88" spans="1:8" s="21" customFormat="1" x14ac:dyDescent="0.25">
      <c r="A88" s="62" t="s">
        <v>103</v>
      </c>
      <c r="B88" s="63" t="s">
        <v>36</v>
      </c>
      <c r="C88" s="63" t="s">
        <v>36</v>
      </c>
      <c r="D88" s="63" t="s">
        <v>36</v>
      </c>
      <c r="E88" s="63" t="s">
        <v>36</v>
      </c>
      <c r="F88" s="63" t="s">
        <v>36</v>
      </c>
      <c r="G88" s="63" t="s">
        <v>36</v>
      </c>
      <c r="H88" s="70" t="s">
        <v>36</v>
      </c>
    </row>
    <row r="89" spans="1:8" s="21" customFormat="1" ht="15.75" thickBot="1" x14ac:dyDescent="0.3">
      <c r="A89" s="75" t="s">
        <v>104</v>
      </c>
      <c r="B89" s="76" t="s">
        <v>36</v>
      </c>
      <c r="C89" s="76" t="s">
        <v>36</v>
      </c>
      <c r="D89" s="76" t="s">
        <v>36</v>
      </c>
      <c r="E89" s="76" t="s">
        <v>36</v>
      </c>
      <c r="F89" s="76" t="s">
        <v>36</v>
      </c>
      <c r="G89" s="76" t="s">
        <v>36</v>
      </c>
      <c r="H89" s="77" t="s">
        <v>36</v>
      </c>
    </row>
    <row r="90" spans="1:8" s="21" customFormat="1" x14ac:dyDescent="0.25">
      <c r="A90" s="61"/>
      <c r="B90" s="74"/>
      <c r="C90" s="74"/>
      <c r="D90" s="74"/>
      <c r="E90" s="74"/>
      <c r="F90" s="74"/>
      <c r="G90" s="74"/>
      <c r="H90" s="74"/>
    </row>
    <row r="91" spans="1:8" ht="15.75" thickBot="1" x14ac:dyDescent="0.3">
      <c r="A91" s="36" t="s">
        <v>105</v>
      </c>
      <c r="B91" s="74"/>
      <c r="C91" s="74"/>
      <c r="D91" s="74"/>
      <c r="E91" s="74"/>
      <c r="F91" s="74"/>
      <c r="G91" s="74"/>
      <c r="H91" s="74"/>
    </row>
    <row r="92" spans="1:8" x14ac:dyDescent="0.25">
      <c r="A92" s="67" t="s">
        <v>68</v>
      </c>
      <c r="B92" s="68" t="s">
        <v>15</v>
      </c>
      <c r="C92" s="68" t="s">
        <v>15</v>
      </c>
      <c r="D92" s="68" t="s">
        <v>15</v>
      </c>
      <c r="E92" s="68" t="s">
        <v>15</v>
      </c>
      <c r="F92" s="68" t="s">
        <v>15</v>
      </c>
      <c r="G92" s="68" t="s">
        <v>15</v>
      </c>
      <c r="H92" s="69" t="s">
        <v>15</v>
      </c>
    </row>
    <row r="93" spans="1:8" s="133" customFormat="1" x14ac:dyDescent="0.25">
      <c r="A93" s="130" t="s">
        <v>69</v>
      </c>
      <c r="B93" s="131">
        <v>24</v>
      </c>
      <c r="C93" s="131">
        <v>24</v>
      </c>
      <c r="D93" s="131">
        <v>24</v>
      </c>
      <c r="E93" s="131">
        <v>24</v>
      </c>
      <c r="F93" s="131">
        <v>24</v>
      </c>
      <c r="G93" s="131">
        <v>24</v>
      </c>
      <c r="H93" s="132">
        <v>24</v>
      </c>
    </row>
    <row r="94" spans="1:8" ht="15.75" thickBot="1" x14ac:dyDescent="0.3">
      <c r="A94" s="75" t="s">
        <v>70</v>
      </c>
      <c r="B94" s="76" t="s">
        <v>15</v>
      </c>
      <c r="C94" s="76" t="s">
        <v>15</v>
      </c>
      <c r="D94" s="76" t="s">
        <v>15</v>
      </c>
      <c r="E94" s="76" t="s">
        <v>15</v>
      </c>
      <c r="F94" s="76" t="s">
        <v>15</v>
      </c>
      <c r="G94" s="76" t="s">
        <v>15</v>
      </c>
      <c r="H94" s="77" t="s">
        <v>15</v>
      </c>
    </row>
    <row r="95" spans="1:8" x14ac:dyDescent="0.25">
      <c r="A95" s="61"/>
      <c r="B95" s="61"/>
      <c r="C95" s="61"/>
      <c r="D95" s="61"/>
      <c r="E95" s="61"/>
      <c r="F95" s="61"/>
      <c r="G95" s="61"/>
      <c r="H95" s="61"/>
    </row>
    <row r="96" spans="1:8" ht="15.75" thickBot="1" x14ac:dyDescent="0.3">
      <c r="A96" s="36" t="s">
        <v>203</v>
      </c>
      <c r="B96" s="61"/>
      <c r="C96" s="61"/>
      <c r="D96" s="61"/>
      <c r="E96" s="61"/>
      <c r="F96" s="61"/>
      <c r="G96" s="61"/>
      <c r="H96" s="61"/>
    </row>
    <row r="97" spans="1:8" s="21" customFormat="1" x14ac:dyDescent="0.25">
      <c r="A97" s="46" t="s">
        <v>122</v>
      </c>
      <c r="B97" s="144">
        <f>B21</f>
        <v>8</v>
      </c>
      <c r="C97" s="144">
        <f t="shared" ref="C97:G97" si="0">C21</f>
        <v>12</v>
      </c>
      <c r="D97" s="144">
        <f t="shared" si="0"/>
        <v>16</v>
      </c>
      <c r="E97" s="144">
        <f t="shared" si="0"/>
        <v>19</v>
      </c>
      <c r="F97" s="144">
        <f t="shared" si="0"/>
        <v>23</v>
      </c>
      <c r="G97" s="144">
        <f t="shared" si="0"/>
        <v>25</v>
      </c>
      <c r="H97" s="145">
        <f>H21</f>
        <v>38</v>
      </c>
    </row>
    <row r="98" spans="1:8" x14ac:dyDescent="0.25">
      <c r="A98" s="380" t="s">
        <v>121</v>
      </c>
      <c r="B98" s="48">
        <f>SUM(B104:B110)*B99</f>
        <v>269.50070000000005</v>
      </c>
      <c r="C98" s="48">
        <f t="shared" ref="C98:F98" si="1">SUM(C104:C110)*C99</f>
        <v>269.50070000000005</v>
      </c>
      <c r="D98" s="48">
        <f t="shared" si="1"/>
        <v>269.50070000000005</v>
      </c>
      <c r="E98" s="48">
        <f t="shared" si="1"/>
        <v>269.50070000000005</v>
      </c>
      <c r="F98" s="48">
        <f t="shared" si="1"/>
        <v>278.0197</v>
      </c>
      <c r="G98" s="48">
        <f>SUM(G104:G110)*G99</f>
        <v>279.775825</v>
      </c>
      <c r="H98" s="50">
        <f>SUM(H104:H110)*H99</f>
        <v>336.32917500000013</v>
      </c>
    </row>
    <row r="99" spans="1:8" s="21" customFormat="1" x14ac:dyDescent="0.25">
      <c r="A99" s="380"/>
      <c r="B99" s="135">
        <v>1.7500000000000002E-2</v>
      </c>
      <c r="C99" s="135">
        <f>B99</f>
        <v>1.7500000000000002E-2</v>
      </c>
      <c r="D99" s="135">
        <f t="shared" ref="D99:G99" si="2">C99</f>
        <v>1.7500000000000002E-2</v>
      </c>
      <c r="E99" s="135">
        <f t="shared" si="2"/>
        <v>1.7500000000000002E-2</v>
      </c>
      <c r="F99" s="135">
        <f t="shared" si="2"/>
        <v>1.7500000000000002E-2</v>
      </c>
      <c r="G99" s="135">
        <f t="shared" si="2"/>
        <v>1.7500000000000002E-2</v>
      </c>
      <c r="H99" s="146">
        <f>G99</f>
        <v>1.7500000000000002E-2</v>
      </c>
    </row>
    <row r="100" spans="1:8" x14ac:dyDescent="0.25">
      <c r="A100" s="47" t="s">
        <v>120</v>
      </c>
      <c r="B100" s="48">
        <v>192.85</v>
      </c>
      <c r="C100" s="48">
        <f>B100</f>
        <v>192.85</v>
      </c>
      <c r="D100" s="48">
        <f t="shared" ref="D100:G100" si="3">C100</f>
        <v>192.85</v>
      </c>
      <c r="E100" s="48">
        <f t="shared" si="3"/>
        <v>192.85</v>
      </c>
      <c r="F100" s="48">
        <f t="shared" si="3"/>
        <v>192.85</v>
      </c>
      <c r="G100" s="48">
        <f t="shared" si="3"/>
        <v>192.85</v>
      </c>
      <c r="H100" s="50">
        <f>479.88/2</f>
        <v>239.94</v>
      </c>
    </row>
    <row r="101" spans="1:8" x14ac:dyDescent="0.25">
      <c r="A101" s="380" t="s">
        <v>119</v>
      </c>
      <c r="B101" s="49">
        <f t="shared" ref="B101:H101" si="4">SUM(B103:B110)</f>
        <v>16156.669999999998</v>
      </c>
      <c r="C101" s="49">
        <f t="shared" si="4"/>
        <v>16156.669999999998</v>
      </c>
      <c r="D101" s="49">
        <f>SUM(D103:D110)</f>
        <v>16156.669999999998</v>
      </c>
      <c r="E101" s="49">
        <f t="shared" si="4"/>
        <v>16156.669999999998</v>
      </c>
      <c r="F101" s="49">
        <f t="shared" si="4"/>
        <v>16643.469999999998</v>
      </c>
      <c r="G101" s="49">
        <f t="shared" si="4"/>
        <v>16743.82</v>
      </c>
      <c r="H101" s="51">
        <f t="shared" si="4"/>
        <v>19975.440000000002</v>
      </c>
    </row>
    <row r="102" spans="1:8" s="21" customFormat="1" x14ac:dyDescent="0.25">
      <c r="A102" s="380"/>
      <c r="B102" s="134">
        <f>B101/B97</f>
        <v>2019.5837499999998</v>
      </c>
      <c r="C102" s="134">
        <f t="shared" ref="C102:H102" si="5">C101/C97</f>
        <v>1346.3891666666666</v>
      </c>
      <c r="D102" s="134">
        <f t="shared" si="5"/>
        <v>1009.7918749999999</v>
      </c>
      <c r="E102" s="134">
        <f t="shared" si="5"/>
        <v>850.35105263157891</v>
      </c>
      <c r="F102" s="134">
        <f t="shared" si="5"/>
        <v>723.6291304347825</v>
      </c>
      <c r="G102" s="134">
        <f t="shared" si="5"/>
        <v>669.75279999999998</v>
      </c>
      <c r="H102" s="147">
        <f t="shared" si="5"/>
        <v>525.66947368421063</v>
      </c>
    </row>
    <row r="103" spans="1:8" s="129" customFormat="1" x14ac:dyDescent="0.25">
      <c r="A103" s="126" t="s">
        <v>77</v>
      </c>
      <c r="B103" s="127">
        <v>756.63</v>
      </c>
      <c r="C103" s="127">
        <v>756.63</v>
      </c>
      <c r="D103" s="127">
        <v>756.63</v>
      </c>
      <c r="E103" s="127">
        <v>756.63</v>
      </c>
      <c r="F103" s="127">
        <v>756.63</v>
      </c>
      <c r="G103" s="127">
        <v>756.63</v>
      </c>
      <c r="H103" s="128">
        <v>756.63</v>
      </c>
    </row>
    <row r="104" spans="1:8" x14ac:dyDescent="0.25">
      <c r="A104" s="86" t="s">
        <v>124</v>
      </c>
      <c r="B104" s="87">
        <f t="shared" ref="B104:D104" si="6">15967.8-810.8-562.59-1654.65-172.62-69.3-149.52-1695.33-9385.9+7972</f>
        <v>9439.09</v>
      </c>
      <c r="C104" s="87">
        <f t="shared" si="6"/>
        <v>9439.09</v>
      </c>
      <c r="D104" s="87">
        <f t="shared" si="6"/>
        <v>9439.09</v>
      </c>
      <c r="E104" s="87">
        <f>15967.8-810.8-562.59-1654.65-172.62-69.3-149.52-1695.33-9385.9+7972</f>
        <v>9439.09</v>
      </c>
      <c r="F104" s="87">
        <f>17489.87-810.8-1695.33-562.59-2941.6-172.62-69.3-149.52-9621.02+8201</f>
        <v>9668.0899999999983</v>
      </c>
      <c r="G104" s="87">
        <f>17489.87-810.8-1695.33-562.59-2941.6-172.62-69.3-149.52-9621.02+8201</f>
        <v>9668.0899999999983</v>
      </c>
      <c r="H104" s="92">
        <f>22387.18-1167.05-1695.33-562.59-4596.25-172.92-69.3-149.52-12507.43+9331</f>
        <v>10797.790000000003</v>
      </c>
    </row>
    <row r="105" spans="1:8" s="21" customFormat="1" x14ac:dyDescent="0.25">
      <c r="A105" s="86" t="s">
        <v>123</v>
      </c>
      <c r="B105" s="87">
        <v>419.16</v>
      </c>
      <c r="C105" s="87">
        <v>419.16</v>
      </c>
      <c r="D105" s="87">
        <v>419.16</v>
      </c>
      <c r="E105" s="87">
        <v>419.16</v>
      </c>
      <c r="F105" s="87">
        <v>419.16</v>
      </c>
      <c r="G105" s="87">
        <v>419.16</v>
      </c>
      <c r="H105" s="92">
        <v>503.16</v>
      </c>
    </row>
    <row r="106" spans="1:8" x14ac:dyDescent="0.25">
      <c r="A106" s="86" t="s">
        <v>78</v>
      </c>
      <c r="B106" s="87">
        <v>134.49</v>
      </c>
      <c r="C106" s="87">
        <v>134.49</v>
      </c>
      <c r="D106" s="87">
        <v>134.49</v>
      </c>
      <c r="E106" s="87">
        <v>134.49</v>
      </c>
      <c r="F106" s="87">
        <v>134.49</v>
      </c>
      <c r="G106" s="87">
        <v>134.49</v>
      </c>
      <c r="H106" s="92">
        <v>152</v>
      </c>
    </row>
    <row r="107" spans="1:8" x14ac:dyDescent="0.25">
      <c r="A107" s="126" t="s">
        <v>79</v>
      </c>
      <c r="B107" s="127">
        <v>931.43</v>
      </c>
      <c r="C107" s="127">
        <v>931.43</v>
      </c>
      <c r="D107" s="127">
        <v>931.43</v>
      </c>
      <c r="E107" s="127">
        <v>931.43</v>
      </c>
      <c r="F107" s="127">
        <v>931.43</v>
      </c>
      <c r="G107" s="127">
        <v>1142.96</v>
      </c>
      <c r="H107" s="128">
        <v>1163.96</v>
      </c>
    </row>
    <row r="108" spans="1:8" x14ac:dyDescent="0.25">
      <c r="A108" s="86" t="s">
        <v>118</v>
      </c>
      <c r="B108" s="87">
        <v>1579.25</v>
      </c>
      <c r="C108" s="87">
        <v>1579.25</v>
      </c>
      <c r="D108" s="87">
        <v>1579.25</v>
      </c>
      <c r="E108" s="87">
        <v>1579.25</v>
      </c>
      <c r="F108" s="87">
        <v>1688.58</v>
      </c>
      <c r="G108" s="87">
        <v>1579.25</v>
      </c>
      <c r="H108" s="92">
        <v>2257.66</v>
      </c>
    </row>
    <row r="109" spans="1:8" s="129" customFormat="1" x14ac:dyDescent="0.25">
      <c r="A109" s="126" t="s">
        <v>80</v>
      </c>
      <c r="B109" s="127">
        <v>444.58</v>
      </c>
      <c r="C109" s="127">
        <v>444.58</v>
      </c>
      <c r="D109" s="127">
        <v>444.58</v>
      </c>
      <c r="E109" s="127">
        <v>444.58</v>
      </c>
      <c r="F109" s="127">
        <v>547.34</v>
      </c>
      <c r="G109" s="127">
        <v>547.34</v>
      </c>
      <c r="H109" s="128">
        <v>1285.3399999999999</v>
      </c>
    </row>
    <row r="110" spans="1:8" ht="15.75" thickBot="1" x14ac:dyDescent="0.3">
      <c r="A110" s="88" t="s">
        <v>81</v>
      </c>
      <c r="B110" s="89">
        <v>2452.04</v>
      </c>
      <c r="C110" s="89">
        <v>2452.04</v>
      </c>
      <c r="D110" s="89">
        <v>2452.04</v>
      </c>
      <c r="E110" s="89">
        <v>2452.04</v>
      </c>
      <c r="F110" s="89">
        <v>2497.75</v>
      </c>
      <c r="G110" s="89">
        <v>2495.9</v>
      </c>
      <c r="H110" s="93">
        <v>3058.9</v>
      </c>
    </row>
    <row r="111" spans="1:8" x14ac:dyDescent="0.25">
      <c r="A111" s="90"/>
      <c r="B111" s="91"/>
      <c r="C111" s="91"/>
      <c r="D111" s="91"/>
      <c r="E111" s="91"/>
      <c r="F111" s="91"/>
      <c r="G111" s="91"/>
      <c r="H111" s="91"/>
    </row>
    <row r="112" spans="1:8" x14ac:dyDescent="0.25">
      <c r="A112" s="36" t="s">
        <v>204</v>
      </c>
    </row>
    <row r="113" spans="1:8" x14ac:dyDescent="0.25">
      <c r="A113" s="261" t="s">
        <v>205</v>
      </c>
    </row>
    <row r="114" spans="1:8" s="21" customFormat="1" x14ac:dyDescent="0.25">
      <c r="A114" s="261" t="s">
        <v>227</v>
      </c>
    </row>
    <row r="115" spans="1:8" s="21" customFormat="1" x14ac:dyDescent="0.25">
      <c r="A115" s="261" t="s">
        <v>80</v>
      </c>
    </row>
    <row r="116" spans="1:8" x14ac:dyDescent="0.25">
      <c r="A116" s="261" t="s">
        <v>206</v>
      </c>
    </row>
    <row r="117" spans="1:8" x14ac:dyDescent="0.25">
      <c r="A117" s="261" t="s">
        <v>207</v>
      </c>
    </row>
    <row r="118" spans="1:8" x14ac:dyDescent="0.25">
      <c r="A118" s="261" t="s">
        <v>208</v>
      </c>
    </row>
    <row r="119" spans="1:8" x14ac:dyDescent="0.25">
      <c r="A119" s="261" t="s">
        <v>209</v>
      </c>
    </row>
    <row r="120" spans="1:8" x14ac:dyDescent="0.25">
      <c r="A120" s="261" t="s">
        <v>210</v>
      </c>
    </row>
    <row r="121" spans="1:8" x14ac:dyDescent="0.25">
      <c r="A121" s="261" t="s">
        <v>211</v>
      </c>
    </row>
    <row r="122" spans="1:8" x14ac:dyDescent="0.25">
      <c r="A122" s="261" t="s">
        <v>212</v>
      </c>
      <c r="B122" s="262"/>
      <c r="C122" s="262"/>
      <c r="D122" s="262"/>
      <c r="E122" s="262"/>
      <c r="F122" s="262"/>
      <c r="G122" s="262"/>
      <c r="H122" s="262"/>
    </row>
    <row r="123" spans="1:8" x14ac:dyDescent="0.25">
      <c r="A123" s="261" t="s">
        <v>228</v>
      </c>
    </row>
    <row r="124" spans="1:8" ht="15.75" thickBot="1" x14ac:dyDescent="0.3"/>
    <row r="125" spans="1:8" ht="15.75" thickBot="1" x14ac:dyDescent="0.3">
      <c r="A125" s="289" t="s">
        <v>229</v>
      </c>
      <c r="B125" s="290">
        <f>(B101-B103-B109-B107)*1.19</f>
        <v>16688.595699999998</v>
      </c>
      <c r="C125" s="290">
        <f t="shared" ref="C125:H125" si="7">(C101-C103-C109-C107)*1.19</f>
        <v>16688.595699999998</v>
      </c>
      <c r="D125" s="290">
        <f t="shared" si="7"/>
        <v>16688.595699999998</v>
      </c>
      <c r="E125" s="290">
        <f t="shared" si="7"/>
        <v>16688.595699999998</v>
      </c>
      <c r="F125" s="290">
        <f t="shared" si="7"/>
        <v>17145.603299999995</v>
      </c>
      <c r="G125" s="290">
        <f t="shared" si="7"/>
        <v>17013.2991</v>
      </c>
      <c r="H125" s="290">
        <f t="shared" si="7"/>
        <v>19955.716900000003</v>
      </c>
    </row>
  </sheetData>
  <mergeCells count="3">
    <mergeCell ref="A98:A99"/>
    <mergeCell ref="A101:A102"/>
    <mergeCell ref="A2:H2"/>
  </mergeCells>
  <phoneticPr fontId="19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D098-810E-4705-96F5-A421200BCAC0}">
  <dimension ref="B1:Y85"/>
  <sheetViews>
    <sheetView topLeftCell="A43" workbookViewId="0">
      <selection activeCell="G75" sqref="G75"/>
    </sheetView>
  </sheetViews>
  <sheetFormatPr baseColWidth="10" defaultRowHeight="15" x14ac:dyDescent="0.25"/>
  <cols>
    <col min="1" max="1" width="2.85546875" customWidth="1"/>
    <col min="2" max="2" width="17.7109375" customWidth="1"/>
    <col min="3" max="3" width="12.42578125" customWidth="1"/>
    <col min="4" max="4" width="13.7109375" bestFit="1" customWidth="1"/>
    <col min="5" max="5" width="11.85546875" bestFit="1" customWidth="1"/>
    <col min="6" max="6" width="11.7109375" bestFit="1" customWidth="1"/>
    <col min="7" max="7" width="12.5703125" customWidth="1"/>
    <col min="8" max="9" width="12.7109375" customWidth="1"/>
    <col min="10" max="10" width="11.28515625" customWidth="1"/>
    <col min="11" max="12" width="10.140625" bestFit="1" customWidth="1"/>
    <col min="13" max="13" width="10.42578125" bestFit="1" customWidth="1"/>
    <col min="14" max="14" width="10.7109375" bestFit="1" customWidth="1"/>
    <col min="15" max="15" width="11" bestFit="1" customWidth="1"/>
    <col min="16" max="20" width="11.7109375" bestFit="1" customWidth="1"/>
    <col min="21" max="21" width="8.42578125" bestFit="1" customWidth="1"/>
    <col min="22" max="23" width="7" bestFit="1" customWidth="1"/>
  </cols>
  <sheetData>
    <row r="1" spans="2:9" s="21" customFormat="1" ht="15.75" thickBot="1" x14ac:dyDescent="0.3"/>
    <row r="2" spans="2:9" x14ac:dyDescent="0.25">
      <c r="B2" s="384" t="s">
        <v>151</v>
      </c>
      <c r="C2" s="385"/>
      <c r="D2" s="385"/>
      <c r="E2" s="198" t="s">
        <v>128</v>
      </c>
    </row>
    <row r="3" spans="2:9" s="21" customFormat="1" x14ac:dyDescent="0.25">
      <c r="B3" s="408" t="s">
        <v>220</v>
      </c>
      <c r="C3" s="409"/>
      <c r="D3" s="266">
        <f>AVERAGE(D15,D17)</f>
        <v>91.295000000000002</v>
      </c>
      <c r="E3" s="267">
        <f>AVERAGE(G15,G17)</f>
        <v>5.9399999999999995</v>
      </c>
    </row>
    <row r="4" spans="2:9" s="21" customFormat="1" x14ac:dyDescent="0.25">
      <c r="B4" s="408" t="s">
        <v>221</v>
      </c>
      <c r="C4" s="409"/>
      <c r="D4" s="266">
        <f>AVERAGE(D16,D18)</f>
        <v>70.554999999999993</v>
      </c>
      <c r="E4" s="267">
        <f>AVERAGE(G16,G18)</f>
        <v>6.1950000000000003</v>
      </c>
    </row>
    <row r="5" spans="2:9" x14ac:dyDescent="0.25">
      <c r="B5" s="408" t="s">
        <v>127</v>
      </c>
      <c r="C5" s="409"/>
      <c r="D5" s="176">
        <v>7.0000000000000007E-2</v>
      </c>
      <c r="E5" s="199"/>
    </row>
    <row r="6" spans="2:9" x14ac:dyDescent="0.25">
      <c r="B6" s="408" t="s">
        <v>142</v>
      </c>
      <c r="C6" s="409"/>
      <c r="D6" s="196">
        <v>0.78</v>
      </c>
      <c r="E6" s="200" t="s">
        <v>129</v>
      </c>
    </row>
    <row r="7" spans="2:9" x14ac:dyDescent="0.25">
      <c r="B7" s="408" t="s">
        <v>130</v>
      </c>
      <c r="C7" s="409"/>
      <c r="D7" s="197">
        <v>1537</v>
      </c>
      <c r="E7" s="151" t="s">
        <v>129</v>
      </c>
    </row>
    <row r="8" spans="2:9" x14ac:dyDescent="0.25">
      <c r="B8" s="408" t="s">
        <v>131</v>
      </c>
      <c r="C8" s="409"/>
      <c r="D8" s="197">
        <v>1139</v>
      </c>
      <c r="E8" s="151" t="s">
        <v>129</v>
      </c>
    </row>
    <row r="9" spans="2:9" s="21" customFormat="1" x14ac:dyDescent="0.25">
      <c r="B9" s="408" t="s">
        <v>178</v>
      </c>
      <c r="C9" s="409"/>
      <c r="D9" s="250">
        <v>159</v>
      </c>
      <c r="E9" s="151"/>
    </row>
    <row r="10" spans="2:9" s="21" customFormat="1" x14ac:dyDescent="0.25">
      <c r="B10" s="388" t="s">
        <v>153</v>
      </c>
      <c r="C10" s="389"/>
      <c r="D10" s="176">
        <v>1.4999999999999999E-2</v>
      </c>
      <c r="E10" s="151" t="s">
        <v>129</v>
      </c>
      <c r="F10" s="148"/>
    </row>
    <row r="11" spans="2:9" s="21" customFormat="1" ht="15.75" thickBot="1" x14ac:dyDescent="0.3">
      <c r="B11" s="386" t="s">
        <v>154</v>
      </c>
      <c r="C11" s="387"/>
      <c r="D11" s="156">
        <v>27.26</v>
      </c>
      <c r="E11" s="163" t="s">
        <v>152</v>
      </c>
      <c r="F11" s="148"/>
    </row>
    <row r="12" spans="2:9" ht="15.75" thickBot="1" x14ac:dyDescent="0.3"/>
    <row r="13" spans="2:9" x14ac:dyDescent="0.25">
      <c r="B13" s="404" t="s">
        <v>136</v>
      </c>
      <c r="C13" s="405"/>
      <c r="D13" s="400" t="s">
        <v>140</v>
      </c>
      <c r="E13" s="401"/>
      <c r="F13" s="402"/>
      <c r="G13" s="403" t="s">
        <v>141</v>
      </c>
      <c r="H13" s="401"/>
      <c r="I13" s="402"/>
    </row>
    <row r="14" spans="2:9" s="21" customFormat="1" ht="15.75" thickBot="1" x14ac:dyDescent="0.3">
      <c r="B14" s="406"/>
      <c r="C14" s="407"/>
      <c r="D14" s="169" t="s">
        <v>137</v>
      </c>
      <c r="E14" s="162" t="s">
        <v>138</v>
      </c>
      <c r="F14" s="163" t="s">
        <v>139</v>
      </c>
      <c r="G14" s="166" t="s">
        <v>137</v>
      </c>
      <c r="H14" s="162" t="s">
        <v>138</v>
      </c>
      <c r="I14" s="163" t="s">
        <v>139</v>
      </c>
    </row>
    <row r="15" spans="2:9" x14ac:dyDescent="0.25">
      <c r="B15" s="158" t="s">
        <v>132</v>
      </c>
      <c r="C15" s="54"/>
      <c r="D15" s="170">
        <v>83.91</v>
      </c>
      <c r="E15" s="159">
        <v>62</v>
      </c>
      <c r="F15" s="171">
        <v>97.5</v>
      </c>
      <c r="G15" s="55">
        <v>5.46</v>
      </c>
      <c r="H15" s="160">
        <v>4.03</v>
      </c>
      <c r="I15" s="161">
        <v>6.34</v>
      </c>
    </row>
    <row r="16" spans="2:9" x14ac:dyDescent="0.25">
      <c r="B16" s="152" t="s">
        <v>133</v>
      </c>
      <c r="C16" s="164"/>
      <c r="D16" s="172">
        <v>61.73</v>
      </c>
      <c r="E16" s="149">
        <v>47</v>
      </c>
      <c r="F16" s="173">
        <v>70</v>
      </c>
      <c r="G16" s="167">
        <v>5.42</v>
      </c>
      <c r="H16" s="150">
        <v>4.13</v>
      </c>
      <c r="I16" s="153">
        <v>6.15</v>
      </c>
    </row>
    <row r="17" spans="2:25" x14ac:dyDescent="0.25">
      <c r="B17" s="152" t="s">
        <v>134</v>
      </c>
      <c r="C17" s="164"/>
      <c r="D17" s="172">
        <v>98.68</v>
      </c>
      <c r="E17" s="149">
        <v>72</v>
      </c>
      <c r="F17" s="173">
        <v>128.22999999999999</v>
      </c>
      <c r="G17" s="167">
        <v>6.42</v>
      </c>
      <c r="H17" s="150">
        <v>4.68</v>
      </c>
      <c r="I17" s="153">
        <v>8.34</v>
      </c>
    </row>
    <row r="18" spans="2:25" ht="15.75" thickBot="1" x14ac:dyDescent="0.3">
      <c r="B18" s="154" t="s">
        <v>135</v>
      </c>
      <c r="C18" s="165"/>
      <c r="D18" s="174">
        <v>79.38</v>
      </c>
      <c r="E18" s="155">
        <v>57</v>
      </c>
      <c r="F18" s="175">
        <v>100.67</v>
      </c>
      <c r="G18" s="168">
        <v>6.97</v>
      </c>
      <c r="H18" s="156">
        <v>5</v>
      </c>
      <c r="I18" s="157">
        <v>8.84</v>
      </c>
    </row>
    <row r="19" spans="2:25" ht="15.75" thickBot="1" x14ac:dyDescent="0.3"/>
    <row r="20" spans="2:25" x14ac:dyDescent="0.25">
      <c r="B20" s="404" t="s">
        <v>136</v>
      </c>
      <c r="C20" s="405"/>
      <c r="D20" s="400" t="s">
        <v>143</v>
      </c>
      <c r="E20" s="401"/>
      <c r="F20" s="402"/>
      <c r="G20" s="403" t="s">
        <v>144</v>
      </c>
      <c r="H20" s="401"/>
      <c r="I20" s="402"/>
    </row>
    <row r="21" spans="2:25" ht="15.75" thickBot="1" x14ac:dyDescent="0.3">
      <c r="B21" s="406"/>
      <c r="C21" s="407"/>
      <c r="D21" s="169" t="s">
        <v>137</v>
      </c>
      <c r="E21" s="162" t="s">
        <v>138</v>
      </c>
      <c r="F21" s="163" t="s">
        <v>139</v>
      </c>
      <c r="G21" s="166" t="s">
        <v>137</v>
      </c>
      <c r="H21" s="162" t="s">
        <v>138</v>
      </c>
      <c r="I21" s="163" t="s">
        <v>139</v>
      </c>
    </row>
    <row r="22" spans="2:25" x14ac:dyDescent="0.25">
      <c r="B22" s="158" t="s">
        <v>132</v>
      </c>
      <c r="C22" s="54"/>
      <c r="D22" s="170">
        <f>D15/(1+$D$5)</f>
        <v>78.420560747663544</v>
      </c>
      <c r="E22" s="159">
        <f t="shared" ref="E22:I22" si="0">E15/(1+$D$5)</f>
        <v>57.943925233644855</v>
      </c>
      <c r="F22" s="171">
        <f t="shared" si="0"/>
        <v>91.121495327102792</v>
      </c>
      <c r="G22" s="55">
        <f t="shared" si="0"/>
        <v>5.1028037383177569</v>
      </c>
      <c r="H22" s="160">
        <f t="shared" si="0"/>
        <v>3.7663551401869158</v>
      </c>
      <c r="I22" s="161">
        <f t="shared" si="0"/>
        <v>5.9252336448598122</v>
      </c>
    </row>
    <row r="23" spans="2:25" x14ac:dyDescent="0.25">
      <c r="B23" s="152" t="s">
        <v>133</v>
      </c>
      <c r="C23" s="164"/>
      <c r="D23" s="172">
        <f t="shared" ref="D23:I23" si="1">D16/(1+$D$5)</f>
        <v>57.691588785046726</v>
      </c>
      <c r="E23" s="149">
        <f t="shared" si="1"/>
        <v>43.925233644859809</v>
      </c>
      <c r="F23" s="173">
        <f t="shared" si="1"/>
        <v>65.420560747663544</v>
      </c>
      <c r="G23" s="167">
        <f t="shared" si="1"/>
        <v>5.065420560747663</v>
      </c>
      <c r="H23" s="150">
        <f t="shared" si="1"/>
        <v>3.8598130841121492</v>
      </c>
      <c r="I23" s="153">
        <f t="shared" si="1"/>
        <v>5.7476635514018692</v>
      </c>
    </row>
    <row r="24" spans="2:25" x14ac:dyDescent="0.25">
      <c r="B24" s="152" t="s">
        <v>134</v>
      </c>
      <c r="C24" s="164"/>
      <c r="D24" s="172">
        <f t="shared" ref="D24:I24" si="2">D17/(1+$D$5)</f>
        <v>92.224299065420567</v>
      </c>
      <c r="E24" s="149">
        <f t="shared" si="2"/>
        <v>67.289719626168221</v>
      </c>
      <c r="F24" s="173">
        <f t="shared" si="2"/>
        <v>119.84112149532709</v>
      </c>
      <c r="G24" s="167">
        <f t="shared" si="2"/>
        <v>6</v>
      </c>
      <c r="H24" s="150">
        <f t="shared" si="2"/>
        <v>4.3738317757009337</v>
      </c>
      <c r="I24" s="153">
        <f t="shared" si="2"/>
        <v>7.7943925233644853</v>
      </c>
    </row>
    <row r="25" spans="2:25" ht="15.75" thickBot="1" x14ac:dyDescent="0.3">
      <c r="B25" s="154" t="s">
        <v>135</v>
      </c>
      <c r="C25" s="165"/>
      <c r="D25" s="174">
        <f t="shared" ref="D25:I25" si="3">D18/(1+$D$5)</f>
        <v>74.186915887850461</v>
      </c>
      <c r="E25" s="155">
        <f t="shared" si="3"/>
        <v>53.271028037383175</v>
      </c>
      <c r="F25" s="175">
        <f t="shared" si="3"/>
        <v>94.0841121495327</v>
      </c>
      <c r="G25" s="168">
        <f t="shared" si="3"/>
        <v>6.5140186915887845</v>
      </c>
      <c r="H25" s="156">
        <f t="shared" si="3"/>
        <v>4.6728971962616823</v>
      </c>
      <c r="I25" s="157">
        <f t="shared" si="3"/>
        <v>8.2616822429906538</v>
      </c>
    </row>
    <row r="28" spans="2:25" s="21" customFormat="1" x14ac:dyDescent="0.25">
      <c r="B28" s="413" t="s">
        <v>145</v>
      </c>
      <c r="C28" s="413"/>
    </row>
    <row r="29" spans="2:25" s="21" customFormat="1" ht="15.75" thickBot="1" x14ac:dyDescent="0.3"/>
    <row r="30" spans="2:25" s="21" customFormat="1" ht="15.75" thickBot="1" x14ac:dyDescent="0.3">
      <c r="B30" s="397" t="s">
        <v>159</v>
      </c>
      <c r="C30" s="398"/>
      <c r="D30" s="394" t="s">
        <v>147</v>
      </c>
      <c r="E30" s="395"/>
      <c r="F30" s="395"/>
      <c r="G30" s="395"/>
      <c r="H30" s="396"/>
      <c r="I30" s="221"/>
      <c r="J30" s="225" t="s">
        <v>148</v>
      </c>
      <c r="K30" s="226"/>
      <c r="L30" s="232"/>
      <c r="M30" s="390" t="s">
        <v>181</v>
      </c>
      <c r="N30" s="399"/>
      <c r="O30" s="392" t="s">
        <v>156</v>
      </c>
      <c r="P30" s="393"/>
      <c r="Q30" s="390" t="s">
        <v>149</v>
      </c>
      <c r="R30" s="399"/>
      <c r="S30" s="392" t="s">
        <v>150</v>
      </c>
      <c r="T30" s="396"/>
      <c r="U30" s="390" t="s">
        <v>155</v>
      </c>
      <c r="V30" s="391"/>
      <c r="W30" s="394" t="s">
        <v>157</v>
      </c>
      <c r="X30" s="396"/>
      <c r="Y30" s="205"/>
    </row>
    <row r="31" spans="2:25" x14ac:dyDescent="0.25">
      <c r="B31" s="158" t="s">
        <v>146</v>
      </c>
      <c r="C31" s="209">
        <v>41685</v>
      </c>
      <c r="D31" s="239">
        <v>64.5</v>
      </c>
      <c r="E31" s="210">
        <v>7.0000000000000007E-2</v>
      </c>
      <c r="F31" s="242">
        <f>D31*(1+E31)</f>
        <v>69.015000000000001</v>
      </c>
      <c r="G31" s="211">
        <v>25</v>
      </c>
      <c r="H31" s="212">
        <f>G31*F31</f>
        <v>1725.375</v>
      </c>
      <c r="I31" s="286">
        <v>2.75</v>
      </c>
      <c r="J31" s="213">
        <f>I31*G31</f>
        <v>68.75</v>
      </c>
      <c r="K31" s="222">
        <v>5</v>
      </c>
      <c r="L31" s="212">
        <f>K31*J31</f>
        <v>343.75</v>
      </c>
      <c r="M31" s="253">
        <v>5</v>
      </c>
      <c r="N31" s="212">
        <f>G31*M31</f>
        <v>125</v>
      </c>
      <c r="O31" s="214">
        <f>H31+L31+N31</f>
        <v>2194.125</v>
      </c>
      <c r="P31" s="215">
        <f>O31/G31</f>
        <v>87.765000000000001</v>
      </c>
      <c r="Q31" s="216">
        <f>$D$7*G31</f>
        <v>38425</v>
      </c>
      <c r="R31" s="217">
        <f>O31*100/Q31</f>
        <v>5.7101496421600517</v>
      </c>
      <c r="S31" s="218">
        <f>Q31*$D$6</f>
        <v>29971.5</v>
      </c>
      <c r="T31" s="217">
        <f>O31*100/S31</f>
        <v>7.3207046694359645</v>
      </c>
      <c r="U31" s="216">
        <f>S31*$D$10</f>
        <v>449.57249999999999</v>
      </c>
      <c r="V31" s="219">
        <f>U31*$D$11/100</f>
        <v>122.55346349999999</v>
      </c>
      <c r="W31" s="220">
        <f>O31+V31</f>
        <v>2316.6784634999999</v>
      </c>
      <c r="X31" s="217">
        <f>W31*100/S31</f>
        <v>7.7296046694359637</v>
      </c>
      <c r="Y31" s="206"/>
    </row>
    <row r="32" spans="2:25" x14ac:dyDescent="0.25">
      <c r="B32" s="152" t="s">
        <v>146</v>
      </c>
      <c r="C32" s="184">
        <v>42021</v>
      </c>
      <c r="D32" s="240">
        <v>64.5</v>
      </c>
      <c r="E32" s="176">
        <v>7.0000000000000007E-2</v>
      </c>
      <c r="F32" s="243">
        <f t="shared" ref="F32:F34" si="4">D32*(1+E32)</f>
        <v>69.015000000000001</v>
      </c>
      <c r="G32" s="177">
        <v>25</v>
      </c>
      <c r="H32" s="186">
        <f t="shared" ref="H32:H34" si="5">G32*F32</f>
        <v>1725.375</v>
      </c>
      <c r="I32" s="287">
        <f>I31</f>
        <v>2.75</v>
      </c>
      <c r="J32" s="207">
        <f>J31</f>
        <v>68.75</v>
      </c>
      <c r="K32" s="178">
        <f>K31</f>
        <v>5</v>
      </c>
      <c r="L32" s="186">
        <f t="shared" ref="L32:L34" si="6">K32*J32</f>
        <v>343.75</v>
      </c>
      <c r="M32" s="240">
        <f>M31</f>
        <v>5</v>
      </c>
      <c r="N32" s="186">
        <f t="shared" ref="N32:N34" si="7">G32*M32</f>
        <v>125</v>
      </c>
      <c r="O32" s="188">
        <f>H32+L32+N32</f>
        <v>2194.125</v>
      </c>
      <c r="P32" s="190">
        <f>O32/G32</f>
        <v>87.765000000000001</v>
      </c>
      <c r="Q32" s="194">
        <f>$D$7*G32</f>
        <v>38425</v>
      </c>
      <c r="R32" s="179">
        <f t="shared" ref="R32:R34" si="8">O32*100/Q32</f>
        <v>5.7101496421600517</v>
      </c>
      <c r="S32" s="192">
        <f t="shared" ref="S32:S34" si="9">Q32*$D$6</f>
        <v>29971.5</v>
      </c>
      <c r="T32" s="179">
        <f t="shared" ref="T32:T34" si="10">O32*100/S32</f>
        <v>7.3207046694359645</v>
      </c>
      <c r="U32" s="194">
        <f t="shared" ref="U32:U34" si="11">S32*$D$10</f>
        <v>449.57249999999999</v>
      </c>
      <c r="V32" s="201">
        <f t="shared" ref="V32:V34" si="12">U32*$D$11/100</f>
        <v>122.55346349999999</v>
      </c>
      <c r="W32" s="203">
        <f t="shared" ref="W32:W34" si="13">O32+V32</f>
        <v>2316.6784634999999</v>
      </c>
      <c r="X32" s="179">
        <f t="shared" ref="X32:X34" si="14">W32*100/S32</f>
        <v>7.7296046694359637</v>
      </c>
      <c r="Y32" s="206"/>
    </row>
    <row r="33" spans="2:25" x14ac:dyDescent="0.25">
      <c r="B33" s="152" t="s">
        <v>146</v>
      </c>
      <c r="C33" s="184">
        <v>43091</v>
      </c>
      <c r="D33" s="240">
        <v>59</v>
      </c>
      <c r="E33" s="176">
        <v>7.0000000000000007E-2</v>
      </c>
      <c r="F33" s="243">
        <f t="shared" si="4"/>
        <v>63.13</v>
      </c>
      <c r="G33" s="177">
        <v>25</v>
      </c>
      <c r="H33" s="186">
        <f t="shared" si="5"/>
        <v>1578.25</v>
      </c>
      <c r="I33" s="287">
        <f>I32</f>
        <v>2.75</v>
      </c>
      <c r="J33" s="207">
        <f t="shared" ref="J33:J34" si="15">J32</f>
        <v>68.75</v>
      </c>
      <c r="K33" s="178">
        <f>K32</f>
        <v>5</v>
      </c>
      <c r="L33" s="186">
        <f t="shared" si="6"/>
        <v>343.75</v>
      </c>
      <c r="M33" s="240">
        <f t="shared" ref="M33:M34" si="16">M32</f>
        <v>5</v>
      </c>
      <c r="N33" s="186">
        <f t="shared" si="7"/>
        <v>125</v>
      </c>
      <c r="O33" s="188">
        <f>H33+L33+N33</f>
        <v>2047</v>
      </c>
      <c r="P33" s="190">
        <f>O33/G33</f>
        <v>81.88</v>
      </c>
      <c r="Q33" s="194">
        <f>$D$7*G33</f>
        <v>38425</v>
      </c>
      <c r="R33" s="179">
        <f t="shared" si="8"/>
        <v>5.3272608978529608</v>
      </c>
      <c r="S33" s="192">
        <f t="shared" si="9"/>
        <v>29971.5</v>
      </c>
      <c r="T33" s="179">
        <f t="shared" si="10"/>
        <v>6.8298216639140517</v>
      </c>
      <c r="U33" s="194">
        <f t="shared" si="11"/>
        <v>449.57249999999999</v>
      </c>
      <c r="V33" s="201">
        <f t="shared" si="12"/>
        <v>122.55346349999999</v>
      </c>
      <c r="W33" s="203">
        <f t="shared" si="13"/>
        <v>2169.5534634999999</v>
      </c>
      <c r="X33" s="179">
        <f t="shared" si="14"/>
        <v>7.2387216639140508</v>
      </c>
      <c r="Y33" s="206"/>
    </row>
    <row r="34" spans="2:25" ht="15.75" thickBot="1" x14ac:dyDescent="0.3">
      <c r="B34" s="154" t="s">
        <v>146</v>
      </c>
      <c r="C34" s="185">
        <v>43498</v>
      </c>
      <c r="D34" s="241">
        <v>61</v>
      </c>
      <c r="E34" s="180">
        <v>7.0000000000000007E-2</v>
      </c>
      <c r="F34" s="244">
        <f t="shared" si="4"/>
        <v>65.27000000000001</v>
      </c>
      <c r="G34" s="181">
        <v>25</v>
      </c>
      <c r="H34" s="187">
        <f t="shared" si="5"/>
        <v>1631.7500000000002</v>
      </c>
      <c r="I34" s="288">
        <f>I33</f>
        <v>2.75</v>
      </c>
      <c r="J34" s="208">
        <f t="shared" si="15"/>
        <v>68.75</v>
      </c>
      <c r="K34" s="182">
        <f>K33</f>
        <v>5</v>
      </c>
      <c r="L34" s="187">
        <f t="shared" si="6"/>
        <v>343.75</v>
      </c>
      <c r="M34" s="241">
        <f t="shared" si="16"/>
        <v>5</v>
      </c>
      <c r="N34" s="187">
        <f t="shared" si="7"/>
        <v>125</v>
      </c>
      <c r="O34" s="189">
        <f>H34+L34+N34</f>
        <v>2100.5</v>
      </c>
      <c r="P34" s="191">
        <f>O34/G34</f>
        <v>84.02</v>
      </c>
      <c r="Q34" s="195">
        <f>$D$7*G34</f>
        <v>38425</v>
      </c>
      <c r="R34" s="183">
        <f t="shared" si="8"/>
        <v>5.4664931685100848</v>
      </c>
      <c r="S34" s="193">
        <f t="shared" si="9"/>
        <v>29971.5</v>
      </c>
      <c r="T34" s="183">
        <f t="shared" si="10"/>
        <v>7.0083245750129288</v>
      </c>
      <c r="U34" s="195">
        <f t="shared" si="11"/>
        <v>449.57249999999999</v>
      </c>
      <c r="V34" s="202">
        <f t="shared" si="12"/>
        <v>122.55346349999999</v>
      </c>
      <c r="W34" s="204">
        <f t="shared" si="13"/>
        <v>2223.0534634999999</v>
      </c>
      <c r="X34" s="183">
        <f t="shared" si="14"/>
        <v>7.417224575012928</v>
      </c>
      <c r="Y34" s="206"/>
    </row>
    <row r="36" spans="2:25" x14ac:dyDescent="0.25">
      <c r="B36" s="251" t="s">
        <v>158</v>
      </c>
      <c r="C36" s="228"/>
      <c r="D36" s="228"/>
      <c r="E36" s="228"/>
      <c r="F36" s="229">
        <v>44147</v>
      </c>
      <c r="G36" s="246">
        <v>44058</v>
      </c>
      <c r="H36" s="229">
        <v>43435</v>
      </c>
      <c r="I36" s="229">
        <v>43089</v>
      </c>
      <c r="J36" s="229">
        <v>42708</v>
      </c>
      <c r="K36" s="229">
        <v>41980</v>
      </c>
      <c r="L36" s="229">
        <v>41966</v>
      </c>
    </row>
    <row r="37" spans="2:25" s="21" customFormat="1" x14ac:dyDescent="0.25">
      <c r="B37" s="248" t="s">
        <v>160</v>
      </c>
      <c r="C37" s="228"/>
      <c r="D37" s="410" t="s">
        <v>182</v>
      </c>
      <c r="E37" s="228"/>
      <c r="F37" s="229"/>
      <c r="G37" s="235">
        <v>11.7</v>
      </c>
      <c r="H37" s="229"/>
      <c r="I37" s="229"/>
      <c r="J37" s="229"/>
      <c r="K37" s="229"/>
      <c r="L37" s="229"/>
    </row>
    <row r="38" spans="2:25" s="21" customFormat="1" x14ac:dyDescent="0.25">
      <c r="B38" s="249" t="s">
        <v>175</v>
      </c>
      <c r="C38" s="228"/>
      <c r="D38" s="411"/>
      <c r="E38" s="228"/>
      <c r="F38" s="229"/>
      <c r="G38" s="235">
        <v>10</v>
      </c>
      <c r="H38" s="229"/>
      <c r="I38" s="229"/>
      <c r="J38" s="229"/>
      <c r="K38" s="229"/>
      <c r="L38" s="229"/>
    </row>
    <row r="39" spans="2:25" s="21" customFormat="1" x14ac:dyDescent="0.25">
      <c r="B39" s="249" t="s">
        <v>176</v>
      </c>
      <c r="D39" s="411"/>
      <c r="G39" s="235">
        <v>12</v>
      </c>
      <c r="H39" s="229"/>
      <c r="I39" s="229"/>
      <c r="J39" s="229"/>
      <c r="K39" s="229"/>
      <c r="L39" s="229"/>
    </row>
    <row r="40" spans="2:25" s="21" customFormat="1" x14ac:dyDescent="0.25">
      <c r="B40" s="249" t="s">
        <v>177</v>
      </c>
      <c r="C40" s="228"/>
      <c r="D40" s="412"/>
      <c r="E40" s="228"/>
      <c r="F40" s="229"/>
      <c r="G40" s="235">
        <v>10</v>
      </c>
      <c r="H40" s="229"/>
      <c r="I40" s="229"/>
      <c r="J40" s="229"/>
      <c r="K40" s="229"/>
      <c r="L40" s="229"/>
    </row>
    <row r="41" spans="2:25" s="21" customFormat="1" x14ac:dyDescent="0.25">
      <c r="B41" s="248" t="s">
        <v>174</v>
      </c>
      <c r="C41" s="228"/>
      <c r="D41" s="228"/>
      <c r="E41" s="228"/>
      <c r="F41" s="229"/>
      <c r="G41" s="235"/>
      <c r="H41" s="229"/>
      <c r="I41" s="229"/>
      <c r="J41" s="229"/>
      <c r="K41" s="229"/>
      <c r="L41" s="229"/>
    </row>
    <row r="42" spans="2:25" s="21" customFormat="1" x14ac:dyDescent="0.25">
      <c r="B42" s="248" t="s">
        <v>174</v>
      </c>
      <c r="C42" s="228"/>
      <c r="D42" s="228"/>
      <c r="E42" s="228"/>
      <c r="F42" s="229"/>
      <c r="G42" s="246"/>
      <c r="H42" s="229"/>
      <c r="I42" s="229"/>
      <c r="J42" s="229"/>
      <c r="K42" s="229"/>
      <c r="L42" s="229"/>
    </row>
    <row r="43" spans="2:25" x14ac:dyDescent="0.25">
      <c r="B43" t="s">
        <v>161</v>
      </c>
      <c r="C43" s="223"/>
      <c r="D43" s="224"/>
      <c r="F43" s="235">
        <v>27.6</v>
      </c>
      <c r="H43" s="235">
        <f t="shared" ref="H43:H50" si="17">F43</f>
        <v>27.6</v>
      </c>
      <c r="I43" s="235">
        <f>H43</f>
        <v>27.6</v>
      </c>
      <c r="J43" s="235">
        <f>H43</f>
        <v>27.6</v>
      </c>
      <c r="K43" s="235">
        <f>I43</f>
        <v>27.6</v>
      </c>
    </row>
    <row r="44" spans="2:25" x14ac:dyDescent="0.25">
      <c r="B44" t="s">
        <v>162</v>
      </c>
      <c r="F44" s="235">
        <v>3.5</v>
      </c>
      <c r="H44" s="235">
        <f t="shared" si="17"/>
        <v>3.5</v>
      </c>
      <c r="I44" s="235">
        <f t="shared" ref="I44:I50" si="18">H44</f>
        <v>3.5</v>
      </c>
      <c r="J44" s="235">
        <f t="shared" ref="J44:J52" si="19">H44</f>
        <v>3.5</v>
      </c>
      <c r="K44" s="235">
        <f t="shared" ref="K44:K51" si="20">I44</f>
        <v>3.5</v>
      </c>
    </row>
    <row r="45" spans="2:25" x14ac:dyDescent="0.25">
      <c r="B45" t="s">
        <v>163</v>
      </c>
      <c r="F45" s="235">
        <v>24.6</v>
      </c>
      <c r="H45" s="235">
        <f t="shared" si="17"/>
        <v>24.6</v>
      </c>
      <c r="I45" s="235">
        <f t="shared" si="18"/>
        <v>24.6</v>
      </c>
      <c r="J45" s="235">
        <f t="shared" si="19"/>
        <v>24.6</v>
      </c>
      <c r="K45" s="235">
        <f t="shared" si="20"/>
        <v>24.6</v>
      </c>
    </row>
    <row r="46" spans="2:25" x14ac:dyDescent="0.25">
      <c r="B46" t="s">
        <v>164</v>
      </c>
      <c r="F46" s="235">
        <v>3</v>
      </c>
      <c r="H46" s="235">
        <f t="shared" si="17"/>
        <v>3</v>
      </c>
      <c r="I46" s="235">
        <f t="shared" si="18"/>
        <v>3</v>
      </c>
      <c r="J46" s="235">
        <f t="shared" si="19"/>
        <v>3</v>
      </c>
      <c r="K46" s="235">
        <f t="shared" si="20"/>
        <v>3</v>
      </c>
    </row>
    <row r="47" spans="2:25" x14ac:dyDescent="0.25">
      <c r="B47" t="s">
        <v>166</v>
      </c>
      <c r="F47" s="235">
        <v>9</v>
      </c>
      <c r="H47" s="235">
        <f t="shared" si="17"/>
        <v>9</v>
      </c>
      <c r="I47" s="235">
        <f t="shared" si="18"/>
        <v>9</v>
      </c>
      <c r="J47" s="235">
        <f t="shared" si="19"/>
        <v>9</v>
      </c>
      <c r="K47" s="235">
        <f t="shared" si="20"/>
        <v>9</v>
      </c>
    </row>
    <row r="48" spans="2:25" x14ac:dyDescent="0.25">
      <c r="B48" t="s">
        <v>165</v>
      </c>
      <c r="F48" s="235">
        <v>7</v>
      </c>
      <c r="H48" s="235">
        <f t="shared" si="17"/>
        <v>7</v>
      </c>
      <c r="I48" s="235">
        <f t="shared" si="18"/>
        <v>7</v>
      </c>
      <c r="J48" s="235">
        <f t="shared" si="19"/>
        <v>7</v>
      </c>
      <c r="K48" s="235">
        <f t="shared" si="20"/>
        <v>7</v>
      </c>
    </row>
    <row r="49" spans="2:12" x14ac:dyDescent="0.25">
      <c r="B49" s="21" t="s">
        <v>163</v>
      </c>
      <c r="F49" s="235">
        <v>8.1999999999999993</v>
      </c>
      <c r="H49" s="235">
        <f t="shared" si="17"/>
        <v>8.1999999999999993</v>
      </c>
      <c r="I49" s="235">
        <f t="shared" si="18"/>
        <v>8.1999999999999993</v>
      </c>
      <c r="J49" s="235">
        <f t="shared" si="19"/>
        <v>8.1999999999999993</v>
      </c>
      <c r="K49" s="235">
        <f t="shared" si="20"/>
        <v>8.1999999999999993</v>
      </c>
    </row>
    <row r="50" spans="2:12" x14ac:dyDescent="0.25">
      <c r="B50" t="s">
        <v>167</v>
      </c>
      <c r="F50" s="235">
        <v>15.8</v>
      </c>
      <c r="H50" s="235">
        <f t="shared" si="17"/>
        <v>15.8</v>
      </c>
      <c r="I50" s="235">
        <f t="shared" si="18"/>
        <v>15.8</v>
      </c>
      <c r="J50" s="235">
        <f t="shared" si="19"/>
        <v>15.8</v>
      </c>
      <c r="K50" s="235">
        <v>13.8</v>
      </c>
    </row>
    <row r="51" spans="2:12" s="21" customFormat="1" x14ac:dyDescent="0.25">
      <c r="B51" s="21" t="s">
        <v>173</v>
      </c>
      <c r="F51" s="235"/>
      <c r="H51" s="235"/>
      <c r="I51" s="235">
        <v>10.3</v>
      </c>
      <c r="J51" s="235">
        <f t="shared" si="19"/>
        <v>0</v>
      </c>
      <c r="K51" s="235">
        <f t="shared" si="20"/>
        <v>10.3</v>
      </c>
    </row>
    <row r="52" spans="2:12" ht="15.75" thickBot="1" x14ac:dyDescent="0.3">
      <c r="B52" s="230" t="s">
        <v>168</v>
      </c>
      <c r="C52" s="230"/>
      <c r="D52" s="230"/>
      <c r="E52" s="230"/>
      <c r="F52" s="236">
        <v>75.7</v>
      </c>
      <c r="G52" s="230"/>
      <c r="H52" s="236">
        <f>F52</f>
        <v>75.7</v>
      </c>
      <c r="I52" s="230"/>
      <c r="J52" s="236">
        <f t="shared" si="19"/>
        <v>75.7</v>
      </c>
      <c r="K52" s="236"/>
      <c r="L52" s="236">
        <f t="shared" ref="L52" si="21">J52</f>
        <v>75.7</v>
      </c>
    </row>
    <row r="53" spans="2:12" s="21" customFormat="1" ht="15.75" thickTop="1" x14ac:dyDescent="0.25">
      <c r="B53" s="237" t="s">
        <v>172</v>
      </c>
      <c r="C53" s="233"/>
      <c r="D53" s="233"/>
      <c r="E53" s="233"/>
      <c r="F53" s="235">
        <f>SUM(F43:F52)</f>
        <v>174.4</v>
      </c>
      <c r="G53" s="235">
        <v>43.2</v>
      </c>
      <c r="H53" s="245">
        <f>SUM(H43:H52)</f>
        <v>174.4</v>
      </c>
      <c r="I53" s="245">
        <f>SUM(I43:I52)</f>
        <v>109</v>
      </c>
      <c r="J53" s="245">
        <f>SUM(J43:J52)</f>
        <v>174.4</v>
      </c>
      <c r="K53" s="245">
        <f>SUM(K43:K52)</f>
        <v>107</v>
      </c>
      <c r="L53" s="245">
        <f>SUM(L43:L52)</f>
        <v>75.7</v>
      </c>
    </row>
    <row r="54" spans="2:12" s="21" customFormat="1" x14ac:dyDescent="0.25">
      <c r="C54" s="233"/>
      <c r="D54" s="233"/>
      <c r="E54" s="238" t="s">
        <v>171</v>
      </c>
      <c r="F54" s="234">
        <v>1.18</v>
      </c>
      <c r="G54" s="234">
        <v>1.2</v>
      </c>
      <c r="H54" s="234">
        <v>1.1399999999999999</v>
      </c>
      <c r="I54" s="247">
        <v>1.1100000000000001</v>
      </c>
      <c r="J54" s="247">
        <v>1.0900000000000001</v>
      </c>
      <c r="K54" s="247">
        <v>1.05</v>
      </c>
      <c r="L54" s="247">
        <v>1.05</v>
      </c>
    </row>
    <row r="55" spans="2:12" x14ac:dyDescent="0.25">
      <c r="B55" t="s">
        <v>169</v>
      </c>
      <c r="F55" s="227">
        <f t="shared" ref="F55:L55" si="22">F54*F53</f>
        <v>205.792</v>
      </c>
      <c r="G55" s="227">
        <f t="shared" si="22"/>
        <v>51.84</v>
      </c>
      <c r="H55" s="227">
        <f t="shared" si="22"/>
        <v>198.816</v>
      </c>
      <c r="I55" s="227">
        <f t="shared" si="22"/>
        <v>120.99000000000001</v>
      </c>
      <c r="J55" s="227">
        <f t="shared" si="22"/>
        <v>190.09600000000003</v>
      </c>
      <c r="K55" s="227">
        <f t="shared" si="22"/>
        <v>112.35000000000001</v>
      </c>
      <c r="L55" s="227">
        <f t="shared" si="22"/>
        <v>79.484999999999999</v>
      </c>
    </row>
    <row r="56" spans="2:12" x14ac:dyDescent="0.25">
      <c r="B56" s="228" t="s">
        <v>170</v>
      </c>
      <c r="C56" s="228"/>
      <c r="D56" s="228"/>
      <c r="E56" s="228"/>
      <c r="F56" s="231">
        <f t="shared" ref="F56:L56" si="23">F55*1.19</f>
        <v>244.89247999999998</v>
      </c>
      <c r="G56" s="231">
        <f t="shared" si="23"/>
        <v>61.689599999999999</v>
      </c>
      <c r="H56" s="231">
        <f t="shared" si="23"/>
        <v>236.59103999999999</v>
      </c>
      <c r="I56" s="231">
        <f t="shared" si="23"/>
        <v>143.97810000000001</v>
      </c>
      <c r="J56" s="231">
        <f t="shared" si="23"/>
        <v>226.21424000000002</v>
      </c>
      <c r="K56" s="231">
        <f t="shared" si="23"/>
        <v>133.69650000000001</v>
      </c>
      <c r="L56" s="231">
        <f t="shared" si="23"/>
        <v>94.587149999999994</v>
      </c>
    </row>
    <row r="58" spans="2:12" s="21" customFormat="1" x14ac:dyDescent="0.25">
      <c r="B58" s="228" t="s">
        <v>183</v>
      </c>
      <c r="D58" s="256">
        <f>F58+G58</f>
        <v>182.47578999999996</v>
      </c>
      <c r="F58" s="255">
        <f>((F43+F45+F49+F52/2)*F54)*1.19</f>
        <v>137.96264999999997</v>
      </c>
      <c r="G58" s="256">
        <f>(G37+G38+G40)*F54*1.19</f>
        <v>44.51314</v>
      </c>
    </row>
    <row r="59" spans="2:12" s="21" customFormat="1" x14ac:dyDescent="0.25">
      <c r="B59" s="228" t="s">
        <v>184</v>
      </c>
      <c r="D59" s="256">
        <f>F59+G59</f>
        <v>94.853709999999992</v>
      </c>
      <c r="F59" s="255">
        <f>(F44+F46+F47+F48+F49+I51/2)*F54*1.19</f>
        <v>50.340569999999992</v>
      </c>
      <c r="G59" s="256">
        <f>G58</f>
        <v>44.51314</v>
      </c>
    </row>
    <row r="60" spans="2:12" s="21" customFormat="1" x14ac:dyDescent="0.25"/>
    <row r="61" spans="2:12" s="21" customFormat="1" x14ac:dyDescent="0.25"/>
    <row r="63" spans="2:12" x14ac:dyDescent="0.25">
      <c r="B63" s="251" t="s">
        <v>179</v>
      </c>
    </row>
    <row r="64" spans="2:12" x14ac:dyDescent="0.25">
      <c r="B64" s="252">
        <v>43454</v>
      </c>
      <c r="C64" t="s">
        <v>185</v>
      </c>
      <c r="E64" s="227">
        <v>220</v>
      </c>
      <c r="G64" s="251" t="s">
        <v>192</v>
      </c>
    </row>
    <row r="65" spans="2:7" x14ac:dyDescent="0.25">
      <c r="B65" s="252">
        <v>43075</v>
      </c>
      <c r="C65" t="s">
        <v>187</v>
      </c>
      <c r="E65" s="227">
        <v>198</v>
      </c>
      <c r="G65" t="s">
        <v>193</v>
      </c>
    </row>
    <row r="66" spans="2:7" x14ac:dyDescent="0.25">
      <c r="B66" s="252">
        <v>42366</v>
      </c>
      <c r="C66" t="s">
        <v>186</v>
      </c>
      <c r="E66" s="227">
        <v>173</v>
      </c>
      <c r="G66" s="21" t="s">
        <v>194</v>
      </c>
    </row>
    <row r="67" spans="2:7" x14ac:dyDescent="0.25">
      <c r="B67" s="252">
        <v>41603</v>
      </c>
      <c r="C67" t="s">
        <v>188</v>
      </c>
      <c r="E67" s="227">
        <v>80</v>
      </c>
    </row>
    <row r="68" spans="2:7" x14ac:dyDescent="0.25">
      <c r="B68" s="252">
        <v>41220</v>
      </c>
      <c r="C68" t="s">
        <v>189</v>
      </c>
      <c r="E68" s="227">
        <v>555</v>
      </c>
      <c r="G68" t="s">
        <v>195</v>
      </c>
    </row>
    <row r="69" spans="2:7" x14ac:dyDescent="0.25">
      <c r="B69" s="252">
        <v>41207</v>
      </c>
      <c r="C69" t="s">
        <v>190</v>
      </c>
      <c r="E69" s="227">
        <v>139</v>
      </c>
    </row>
    <row r="70" spans="2:7" x14ac:dyDescent="0.25">
      <c r="B70" s="252">
        <v>40634</v>
      </c>
      <c r="C70" t="s">
        <v>191</v>
      </c>
      <c r="E70" s="227">
        <v>116</v>
      </c>
    </row>
    <row r="71" spans="2:7" ht="15.75" thickBot="1" x14ac:dyDescent="0.3">
      <c r="B71" s="257">
        <v>39741</v>
      </c>
      <c r="C71" s="230" t="s">
        <v>191</v>
      </c>
      <c r="D71" s="230"/>
      <c r="E71" s="258">
        <v>116</v>
      </c>
    </row>
    <row r="72" spans="2:7" ht="15.75" thickTop="1" x14ac:dyDescent="0.25">
      <c r="E72" s="231">
        <f>SUM(E64:E71)</f>
        <v>1597</v>
      </c>
    </row>
    <row r="74" spans="2:7" x14ac:dyDescent="0.25">
      <c r="B74" s="228" t="s">
        <v>180</v>
      </c>
      <c r="C74" s="254">
        <v>2006</v>
      </c>
      <c r="E74" s="255">
        <f>E72/15</f>
        <v>106.46666666666667</v>
      </c>
    </row>
    <row r="77" spans="2:7" x14ac:dyDescent="0.25">
      <c r="B77" s="228" t="s">
        <v>196</v>
      </c>
      <c r="E77" s="259">
        <f>180</f>
        <v>180</v>
      </c>
    </row>
    <row r="78" spans="2:7" x14ac:dyDescent="0.25">
      <c r="B78" s="21" t="s">
        <v>197</v>
      </c>
    </row>
    <row r="79" spans="2:7" s="21" customFormat="1" x14ac:dyDescent="0.25">
      <c r="B79" s="21" t="s">
        <v>199</v>
      </c>
    </row>
    <row r="80" spans="2:7" x14ac:dyDescent="0.25">
      <c r="B80" s="21" t="s">
        <v>198</v>
      </c>
    </row>
    <row r="82" spans="2:5" x14ac:dyDescent="0.25">
      <c r="B82" s="228" t="s">
        <v>181</v>
      </c>
      <c r="C82" s="228"/>
      <c r="D82" s="228"/>
      <c r="E82" s="260">
        <v>5</v>
      </c>
    </row>
    <row r="83" spans="2:5" x14ac:dyDescent="0.25">
      <c r="B83" s="21" t="s">
        <v>200</v>
      </c>
    </row>
    <row r="84" spans="2:5" x14ac:dyDescent="0.25">
      <c r="B84" s="21" t="s">
        <v>201</v>
      </c>
    </row>
    <row r="85" spans="2:5" x14ac:dyDescent="0.25">
      <c r="B85" s="21" t="s">
        <v>202</v>
      </c>
    </row>
  </sheetData>
  <sortState xmlns:xlrd2="http://schemas.microsoft.com/office/spreadsheetml/2017/richdata2" ref="B64:E71">
    <sortCondition descending="1" ref="B64:B71"/>
  </sortState>
  <mergeCells count="26">
    <mergeCell ref="B4:C4"/>
    <mergeCell ref="D37:D40"/>
    <mergeCell ref="W30:X30"/>
    <mergeCell ref="B5:C5"/>
    <mergeCell ref="B6:C6"/>
    <mergeCell ref="B7:C7"/>
    <mergeCell ref="B8:C8"/>
    <mergeCell ref="B28:C28"/>
    <mergeCell ref="B9:C9"/>
    <mergeCell ref="M30:N30"/>
    <mergeCell ref="B2:D2"/>
    <mergeCell ref="B11:C11"/>
    <mergeCell ref="B10:C10"/>
    <mergeCell ref="U30:V30"/>
    <mergeCell ref="O30:P30"/>
    <mergeCell ref="D30:H30"/>
    <mergeCell ref="B30:C30"/>
    <mergeCell ref="Q30:R30"/>
    <mergeCell ref="S30:T30"/>
    <mergeCell ref="D13:F13"/>
    <mergeCell ref="G13:I13"/>
    <mergeCell ref="B13:C14"/>
    <mergeCell ref="B20:C21"/>
    <mergeCell ref="D20:F20"/>
    <mergeCell ref="G20:I20"/>
    <mergeCell ref="B3:C3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Ergebnis</vt:lpstr>
      <vt:lpstr>Kapital- &amp; Betriebsgeb. Kosten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Ap-Wärme</dc:creator>
  <cp:lastModifiedBy>Hubert Daubmeier</cp:lastModifiedBy>
  <dcterms:created xsi:type="dcterms:W3CDTF">2014-08-19T13:12:21Z</dcterms:created>
  <dcterms:modified xsi:type="dcterms:W3CDTF">2021-04-24T07:39:21Z</dcterms:modified>
</cp:coreProperties>
</file>