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https://d.docs.live.net/364d8bd3b43466be/Nahwärme Joshofen/5.8.2021/"/>
    </mc:Choice>
  </mc:AlternateContent>
  <xr:revisionPtr revIDLastSave="0" documentId="8_{B0FB3993-2636-4BEE-9FDF-BAE43A2CB854}" xr6:coauthVersionLast="47" xr6:coauthVersionMax="47" xr10:uidLastSave="{00000000-0000-0000-0000-000000000000}"/>
  <bookViews>
    <workbookView xWindow="-28920" yWindow="-120" windowWidth="29040" windowHeight="17640" xr2:uid="{00000000-000D-0000-FFFF-FFFF00000000}"/>
  </bookViews>
  <sheets>
    <sheet name="Ergebnis" sheetId="5" r:id="rId1"/>
    <sheet name="Daten"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5" l="1"/>
  <c r="J34" i="5" l="1"/>
  <c r="J33" i="5"/>
  <c r="J23" i="5"/>
  <c r="D61" i="5"/>
  <c r="D60" i="5"/>
  <c r="J24" i="5" l="1"/>
  <c r="J22" i="5" s="1"/>
  <c r="J32" i="5" l="1"/>
  <c r="B8" i="3" l="1"/>
  <c r="B4" i="3"/>
  <c r="F65" i="5"/>
  <c r="F66" i="5" s="1"/>
  <c r="F64" i="5" l="1"/>
  <c r="F24" i="5" l="1"/>
  <c r="F22" i="5" l="1"/>
  <c r="F25" i="5" s="1"/>
  <c r="F37" i="5" s="1"/>
  <c r="F36" i="5" s="1"/>
  <c r="F32" i="5"/>
  <c r="F31" i="5" s="1"/>
  <c r="N42" i="5" l="1"/>
  <c r="N38" i="5" s="1"/>
  <c r="B7" i="3"/>
  <c r="B29" i="3" s="1"/>
  <c r="J98" i="5"/>
  <c r="N43" i="5"/>
  <c r="J43" i="5" l="1"/>
  <c r="D44" i="5"/>
  <c r="D51" i="5" s="1"/>
  <c r="J46" i="5"/>
  <c r="N46" i="5" s="1"/>
  <c r="J42" i="5"/>
  <c r="N96" i="5"/>
  <c r="N98" i="5" s="1"/>
  <c r="N89" i="5"/>
  <c r="N103" i="5"/>
  <c r="N102" i="5"/>
  <c r="J10" i="5"/>
  <c r="N10" i="5" s="1"/>
  <c r="J13" i="5"/>
  <c r="N13" i="5" s="1"/>
  <c r="AD26" i="5"/>
  <c r="D27" i="5"/>
  <c r="D12" i="5"/>
  <c r="N119" i="5" l="1"/>
  <c r="N113" i="5"/>
  <c r="D47" i="5"/>
  <c r="D48" i="5" s="1"/>
  <c r="J12" i="5"/>
  <c r="N12" i="5" s="1"/>
  <c r="N60" i="5" s="1"/>
  <c r="N112" i="5" s="1"/>
  <c r="N77" i="5" s="1"/>
  <c r="L3" i="3"/>
  <c r="N44" i="5"/>
  <c r="J44" i="5"/>
  <c r="N91" i="5"/>
  <c r="N93" i="5" s="1"/>
  <c r="N100" i="5" s="1"/>
  <c r="N105" i="5" s="1"/>
  <c r="AD17" i="5"/>
  <c r="N118" i="5" l="1"/>
  <c r="N120" i="5" s="1"/>
  <c r="J3" i="3"/>
  <c r="J5" i="3"/>
  <c r="J6" i="3"/>
  <c r="J47" i="5"/>
  <c r="N47" i="5" s="1"/>
  <c r="N48" i="5" s="1"/>
  <c r="D50" i="5"/>
  <c r="J51" i="5"/>
  <c r="J48" i="5"/>
  <c r="J60" i="5" l="1"/>
  <c r="F60" i="5"/>
  <c r="J50" i="5"/>
  <c r="N51" i="5"/>
  <c r="N50" i="5" s="1"/>
  <c r="N116" i="5" s="1"/>
  <c r="N80" i="5" s="1"/>
  <c r="D18" i="5"/>
  <c r="D19" i="5" s="1"/>
  <c r="N19" i="5" s="1"/>
  <c r="C7" i="3"/>
  <c r="D7" i="3"/>
  <c r="D29" i="3" s="1"/>
  <c r="E7" i="3"/>
  <c r="F7" i="3"/>
  <c r="F29" i="3" s="1"/>
  <c r="G7" i="3"/>
  <c r="G29" i="3" s="1"/>
  <c r="H7" i="3"/>
  <c r="H29" i="3" s="1"/>
  <c r="C29" i="3" l="1"/>
  <c r="E29" i="3"/>
  <c r="J7" i="3"/>
  <c r="J88" i="5" s="1"/>
  <c r="D37" i="5"/>
  <c r="N15" i="5"/>
  <c r="N27" i="5" s="1"/>
  <c r="D54" i="5"/>
  <c r="F8" i="3"/>
  <c r="E8" i="3"/>
  <c r="J8" i="3" s="1"/>
  <c r="D8" i="3"/>
  <c r="C8" i="3"/>
  <c r="H8" i="3"/>
  <c r="G8" i="3"/>
  <c r="J91" i="5" l="1"/>
  <c r="J93" i="5" s="1"/>
  <c r="J100" i="5" s="1"/>
  <c r="J105" i="5" s="1"/>
  <c r="N54" i="5"/>
  <c r="N37" i="5" s="1"/>
  <c r="N36" i="5" s="1"/>
  <c r="J15" i="5"/>
  <c r="J65" i="5" s="1"/>
  <c r="D36" i="5"/>
  <c r="N69" i="5"/>
  <c r="J66" i="5" l="1"/>
  <c r="J64" i="5"/>
  <c r="J25" i="5"/>
  <c r="J31" i="5"/>
  <c r="D56" i="5"/>
  <c r="J37" i="5" l="1"/>
  <c r="J36" i="5" s="1"/>
  <c r="J56" i="5" s="1"/>
  <c r="J54" i="5"/>
  <c r="D57" i="5"/>
  <c r="J57" i="5" l="1"/>
  <c r="N56" i="5"/>
  <c r="N111" i="5"/>
  <c r="C4" i="3"/>
  <c r="H4" i="3"/>
  <c r="D4" i="3"/>
  <c r="G4" i="3"/>
  <c r="E4" i="3"/>
  <c r="J4" i="3" s="1"/>
  <c r="F4" i="3"/>
  <c r="J61" i="5" l="1"/>
  <c r="J69" i="5" s="1"/>
  <c r="F61" i="5"/>
  <c r="D69" i="5" s="1"/>
  <c r="D72" i="5" s="1"/>
  <c r="D73" i="5" s="1"/>
  <c r="N114" i="5"/>
  <c r="N76" i="5"/>
  <c r="N78" i="5" s="1"/>
  <c r="N57" i="5"/>
  <c r="N72" i="5"/>
  <c r="N73" i="5" s="1"/>
  <c r="N107" i="5"/>
  <c r="J72" i="5" l="1"/>
  <c r="J73" i="5" s="1"/>
  <c r="J107" i="5"/>
  <c r="J108" i="5" s="1"/>
  <c r="N108" i="5"/>
</calcChain>
</file>

<file path=xl/sharedStrings.xml><?xml version="1.0" encoding="utf-8"?>
<sst xmlns="http://schemas.openxmlformats.org/spreadsheetml/2006/main" count="180" uniqueCount="137">
  <si>
    <t>Nutzungsdauer</t>
  </si>
  <si>
    <t>Zinssatz (kalkulatorisch)</t>
  </si>
  <si>
    <t>zu beheizende Fläche</t>
  </si>
  <si>
    <t>Brennwert</t>
  </si>
  <si>
    <t>Betriebsgebundene Kosten</t>
  </si>
  <si>
    <t>Verbrauchsgebundene Kosten</t>
  </si>
  <si>
    <t>#</t>
  </si>
  <si>
    <t>Kapitalgebundene Kosten</t>
  </si>
  <si>
    <t>• Wasseraufbereitung</t>
  </si>
  <si>
    <t>• Pauschalen</t>
  </si>
  <si>
    <t>Gebäudeheizlast / Kesselleistung:</t>
  </si>
  <si>
    <t>• Hydraulischer Abgleich (zwingend für die Förderung)</t>
  </si>
  <si>
    <t>• Heizungspumpe (optional, falls notwendig)</t>
  </si>
  <si>
    <t>• Heizungsmischer (optional, falls notwendig)</t>
  </si>
  <si>
    <t>• Mischer Stellmotor (optional, falls notwendig)</t>
  </si>
  <si>
    <t>• Zirkulationspumpe (optional, falls notwendig)</t>
  </si>
  <si>
    <t>• Absperrungen Heizung (optional, falls notwendig)</t>
  </si>
  <si>
    <t>• Absperrungen Kaltwasser (optional, falls notwendig)</t>
  </si>
  <si>
    <t>• Schlammabscheider (optional)</t>
  </si>
  <si>
    <t>• ….</t>
  </si>
  <si>
    <t>Investitionskosten für Vergleichsberechnung</t>
  </si>
  <si>
    <t>• Demontage der Altanalge (optional, falls notwendig)</t>
  </si>
  <si>
    <t>• Ausdehnungsgefäß (optional, falls notwendig)</t>
  </si>
  <si>
    <t>alle Angaben sind Bruttopreise</t>
  </si>
  <si>
    <t>Stromkosten für Kesselbetrieb</t>
  </si>
  <si>
    <t>Strompreis</t>
  </si>
  <si>
    <t>Wartungskosten</t>
  </si>
  <si>
    <t>ø Reparaturkosten (25 Jahre)</t>
  </si>
  <si>
    <t>ø Schornsteinfegerkosten</t>
  </si>
  <si>
    <t>Verbrauchs- und Betriebskosten</t>
  </si>
  <si>
    <t>Zusatzleistungen beim Heizungseinbau</t>
  </si>
  <si>
    <t>Zusatzleistungen bei der Heizungsoptimierung</t>
  </si>
  <si>
    <t>Förderung für Heizungsoptimierung (20%)</t>
  </si>
  <si>
    <t>Heizwert</t>
  </si>
  <si>
    <t>Heizöl leicht</t>
  </si>
  <si>
    <t>Quelle: Bafa</t>
  </si>
  <si>
    <t>Heizölpreis (ø 2008 bis 2020)</t>
  </si>
  <si>
    <t>Energieinhalt je Liter Heizöl (Heizwert)</t>
  </si>
  <si>
    <t>Wärmebedarf pro Jahr</t>
  </si>
  <si>
    <t>CO2-Kosten (gesetzlicher Wert für 2025)</t>
  </si>
  <si>
    <t>Heizleistung pro Quadratmeter des Gebäudes</t>
  </si>
  <si>
    <t>Leistungspreis</t>
  </si>
  <si>
    <t>Arbeitspreis</t>
  </si>
  <si>
    <t>Jahresnutzungsgrad Wärmetauscher</t>
  </si>
  <si>
    <t>derzeitige Ölheizung</t>
  </si>
  <si>
    <t>Nahwärme</t>
  </si>
  <si>
    <t>Kesseltyp:</t>
  </si>
  <si>
    <t>Nieder-
temperatur</t>
  </si>
  <si>
    <t>Kesseltyp</t>
  </si>
  <si>
    <t>Jahresnutzungsgrad</t>
  </si>
  <si>
    <t>Typ</t>
  </si>
  <si>
    <t>Heizölheizung</t>
  </si>
  <si>
    <t>Einmalbeitrag bei Anschluss an die Nahwärme</t>
  </si>
  <si>
    <t>Förderung ohne / mit Heizöltausch (35% / 45%)</t>
  </si>
  <si>
    <t>Zusatzleistungen beim Nahwärmeanschluss</t>
  </si>
  <si>
    <t>Gesamtinvestition nach Förderung</t>
  </si>
  <si>
    <t>Die folgenden Kosten fallen alle 20 - 30 Jahre bei der Heizungserneuerung an.</t>
  </si>
  <si>
    <r>
      <t>Scheitholzverbrauch pro Jahr</t>
    </r>
    <r>
      <rPr>
        <sz val="11"/>
        <color rgb="FF000000"/>
        <rFont val="Arial"/>
        <family val="2"/>
      </rPr>
      <t xml:space="preserve"> (Kachelofen)</t>
    </r>
  </si>
  <si>
    <t>Jahresnutzungsgrad Heizölkessel</t>
  </si>
  <si>
    <t>Jahresnutzungsgrad Kachel-/Schwedenofen</t>
  </si>
  <si>
    <t>Brennstoffkosten Heizölkesssel</t>
  </si>
  <si>
    <t>Brennstoffkosten Kachel-/Schwedenofen</t>
  </si>
  <si>
    <t>Anteil Hartholz</t>
  </si>
  <si>
    <t>Anteil Weichholz</t>
  </si>
  <si>
    <t>Energieinhalt je Ster</t>
  </si>
  <si>
    <t>ø Heizwert Hartholz:</t>
  </si>
  <si>
    <t>ø Heizwert Weichholz:</t>
  </si>
  <si>
    <t>Gesamtwärmeverbrauch des Gebäudes</t>
  </si>
  <si>
    <t>Scheitholzpreis (ofenfertig)</t>
  </si>
  <si>
    <t>(nur für Zusatzleistungen)</t>
  </si>
  <si>
    <t>Förderung der Zusatzleistungen</t>
  </si>
  <si>
    <t>Einzelofen (Kachel- / Schwedenofen)</t>
  </si>
  <si>
    <t>hydraulischer Abgleich (Schätzkostenansatz)</t>
  </si>
  <si>
    <t>Zusatzleistungen bei Heizungseinbau</t>
  </si>
  <si>
    <t>• Brauchwarmwasserspeicher (optional, falls notwendig)</t>
  </si>
  <si>
    <t>Instandsetzungskosten / Reparaturen</t>
  </si>
  <si>
    <t>Inspektions- und Wartungskosten</t>
  </si>
  <si>
    <t>Investitionskosten Heizzentrale</t>
  </si>
  <si>
    <t>für Berechnung</t>
  </si>
  <si>
    <t>Gebäude</t>
  </si>
  <si>
    <t>Wärmeverbrauch (Nahwärme)</t>
  </si>
  <si>
    <t>Gesamtkosten Nahwärme</t>
  </si>
  <si>
    <t>Der Jahresnutzungsgrad einer Einzelfeuerung beträgt nach Angaben der bimomassefreundlichen "Bay. Landes-anstalt für Wald- und Forstwirtschaft" 65%. (Merkblatt 34)</t>
  </si>
  <si>
    <t>Oftmals wird der Kachel- oder Schwedenofen weniger genutzt, wenn ein Nahwärmeanschluss errichtet wurde, da kein "teures Heizöl" eingespart werden muss/soll. (Voreinstellung 1/3)</t>
  </si>
  <si>
    <t xml:space="preserve">Wer nach einem Anlschluss an das Wärmenetz seinen Einzelofen weniger benutzt, bezieht mehr Nahwärme. Dies wird hier anhand der Eingaben unter "Einzelofen" automatisch berücksichtigt. </t>
  </si>
  <si>
    <t>https://www.tecson.de/pheizoel.html</t>
  </si>
  <si>
    <t>https://www.ihk.de/co2-preisrechner</t>
  </si>
  <si>
    <t>Die Heizölpreise und CO2-Kosten sind zu finden unter:</t>
  </si>
  <si>
    <t>Heizleistung der zu beheizenden Fläche</t>
  </si>
  <si>
    <t>Die folgenden Kosten fallen bei der Nahwärme einmalig an.</t>
  </si>
  <si>
    <t>Gesamtkosten der Zusatzleistungen</t>
  </si>
  <si>
    <r>
      <t>Grundpreis</t>
    </r>
    <r>
      <rPr>
        <sz val="8"/>
        <color theme="1"/>
        <rFont val="Arial"/>
        <family val="2"/>
      </rPr>
      <t xml:space="preserve"> (wenn keine Einmalzahlung geleistet wird)</t>
    </r>
  </si>
  <si>
    <t>Scheitholzkosten für Kachel-/Schwedenofen</t>
  </si>
  <si>
    <t>Achtung: Hier werden Nettowerte angegegben</t>
  </si>
  <si>
    <t xml:space="preserve">Der Jahresnutzungsgrad gibt an wieviel von der im Brennstoff enthaltenen Wärmeenergie in Nutzwärme umgesetzt wird.  
Die hier angegeben Jahresnutzungsgrade wurden im Rahmen eines Felduntersuchung der Fachhochschule Wolfenbüttel ermittelt. Es wurden über 70 Heizungsanlagen vermessen um die realen Jahresnutzungsgrade zu erhalten. </t>
  </si>
  <si>
    <t>Wärmeerzeugung pro Jahr</t>
  </si>
  <si>
    <t>Durchschnittliche Kosten die für die Wartung angesetzt werden (z.B. Wartungsvertrag mit Heizungsbauer)</t>
  </si>
  <si>
    <t>Durchschnittliche jährliche Kosten für Reparatur der Heizungsanlage</t>
  </si>
  <si>
    <t xml:space="preserve">Kaminkehrerkosten für Kehrarbeiten, Emissionsmessung, Feuerstättenschau, Bescheide, ... </t>
  </si>
  <si>
    <t>Gesamtkosten der Wärmeversorgung</t>
  </si>
  <si>
    <t>Erst ab dem Zeitpunkt zu bezahlen, wenn der Hauptwärmeerzeuger der Zentralheizung älter als 20 Jahre ist.</t>
  </si>
  <si>
    <r>
      <t xml:space="preserve">Dies sind die jährlich zu erwartenden Kosten, wenn der Einmalbeitrag in Höhe von 9.950 € und die gegebenenfalls Gebäudeindividuellen Zusatzleistungen </t>
    </r>
    <r>
      <rPr>
        <b/>
        <sz val="10"/>
        <color rgb="FFC00000"/>
        <rFont val="Arial"/>
        <family val="2"/>
      </rPr>
      <t>nicht</t>
    </r>
    <r>
      <rPr>
        <sz val="10"/>
        <color rgb="FFC00000"/>
        <rFont val="Arial"/>
        <family val="2"/>
      </rPr>
      <t xml:space="preserve"> bezahlt wurden.</t>
    </r>
  </si>
  <si>
    <t>Eventuell notwednige Zusatzleistungen sind von jedem selbst zu begleichen.</t>
  </si>
  <si>
    <t>Berechnung gültig bis 40 kW</t>
  </si>
  <si>
    <t>Dies sind die jährlich zu erwartenden Kosten, wenn der Einmalbeitrag in Höhe von 9.950 € und die gegebenenfalls gebäudeindividuellen Zusatzleistungen bezahlt wurden.</t>
  </si>
  <si>
    <t>Davon sind:</t>
  </si>
  <si>
    <t>Diese Kosten sind individuell für jedes Gebäude zu ermitteln und nicht im Wärmepreis, sowie in den angesetzten Investitionskosten für eine neue Heizölbrennwertheizung enthalten.</t>
  </si>
  <si>
    <t>derzeitige Holzheizung</t>
  </si>
  <si>
    <t>Vergleichsberechnung Scheitholz- &amp; Heizölkessel / Nahwärme</t>
  </si>
  <si>
    <t>Scheitholz</t>
  </si>
  <si>
    <t>Heizöl- / Scheitholzverbrauch pro Jahr</t>
  </si>
  <si>
    <t>Jahresnutzungsgrad Scheitholzkessel</t>
  </si>
  <si>
    <t>Energieinhalt je Ster (Heizwert)</t>
  </si>
  <si>
    <t>Scheitholzpreis Hartholz</t>
  </si>
  <si>
    <t>Scheitholzpreis Weichholz</t>
  </si>
  <si>
    <t>ø Scheitholzkosten (Hartholz):</t>
  </si>
  <si>
    <t>ø Scheitholzkosten (Weichholz):</t>
  </si>
  <si>
    <t>Stromverbrauch (1% / 1,5% des Wärmebedarfs)</t>
  </si>
  <si>
    <r>
      <t>Wärmelieferung pro Jahr</t>
    </r>
    <r>
      <rPr>
        <sz val="11"/>
        <color rgb="FF000000"/>
        <rFont val="Arial"/>
        <family val="2"/>
      </rPr>
      <t xml:space="preserve"> (Ersatz Heizöl / Scheitholz)</t>
    </r>
  </si>
  <si>
    <r>
      <t>Wärmebezugskosten</t>
    </r>
    <r>
      <rPr>
        <sz val="11"/>
        <color rgb="FF000000"/>
        <rFont val="Arial"/>
        <family val="2"/>
      </rPr>
      <t xml:space="preserve"> (Ersatz Heizöl &amp; Scheitholz)</t>
    </r>
  </si>
  <si>
    <t>Arbeitsaufwand</t>
  </si>
  <si>
    <t>Kessel schürren,  Kessel reinigen, Holz in Heizkeller räumen, …</t>
  </si>
  <si>
    <t>Kostenansatz</t>
  </si>
  <si>
    <t>Laut Angaben des biomassefreundlichen "Technologie- und Förderzeuntrum für Nachwachsende Rohstoffe" (TFZ-Merkblatt 21WBr003; Stand Januar 2021) betragen die durchschnittlichen Kosten für Hartholz 98,68 €/Ster und für Weichholz 79,38 €/Ster. Die minimalen Kosten wurden mit 72 €/Ster Hartholz bzw. 57 €/Ster Weichholz angegeben. (Hierfür sollte es auf jeden Fall jeder verkaufen können, wenn er den gerne Holz macht.) (Voreinstellung: Mittelwerte der gennanten Holzpreise)</t>
  </si>
  <si>
    <t>Laut Angaben des biomassefreundlichen "Technologie- und Förderzeuntrum für Nachwachsende Rohstoffe" (TFZ-Merkblatt 21WBr003; Stand Januar 2021) betragen die durchschnittlichen Kosten (Meterware) für Hartholz 83,91 €/Ster und für Weichholz 61,73 €/Ster.   (Voreinstellung: 80% der Mittelwerte der gennanten Holzpreise. Hierfür sollte es auf jeden Fall jeder verkaufen können, wenn er den gerne Holz macht. )</t>
  </si>
  <si>
    <r>
      <t xml:space="preserve">Brennstoffkosten Scheitholzkesssel
</t>
    </r>
    <r>
      <rPr>
        <sz val="11"/>
        <color rgb="FF000000"/>
        <rFont val="Arial"/>
        <family val="2"/>
      </rPr>
      <t>(gespalten, 50 cm, geliefert &amp; angesetzt)</t>
    </r>
  </si>
  <si>
    <t>Leistungsverzeichnisse: Scheitholzkessel</t>
  </si>
  <si>
    <t>• Wärmeerzeugungsanlage (Scheitholzkessel)</t>
  </si>
  <si>
    <t>• Pumpen und Armaturen</t>
  </si>
  <si>
    <t>• Pufferspeicher</t>
  </si>
  <si>
    <t>zukünftige Holzheizung</t>
  </si>
  <si>
    <r>
      <t>Wärmebezugskosten</t>
    </r>
    <r>
      <rPr>
        <sz val="11"/>
        <color rgb="FF000000"/>
        <rFont val="Arial"/>
        <family val="2"/>
      </rPr>
      <t xml:space="preserve"> (Ersatz Scheitholz Einzelofen)</t>
    </r>
  </si>
  <si>
    <r>
      <t>Wärmelieferung pro Jahr</t>
    </r>
    <r>
      <rPr>
        <sz val="11"/>
        <color rgb="FF000000"/>
        <rFont val="Arial"/>
        <family val="2"/>
      </rPr>
      <t xml:space="preserve"> (Ersatz Scheitholz Einzelofen)</t>
    </r>
  </si>
  <si>
    <r>
      <t>Reduzierung Scheitholzverbrauch</t>
    </r>
    <r>
      <rPr>
        <sz val="11"/>
        <color rgb="FF000000"/>
        <rFont val="Arial"/>
        <family val="2"/>
      </rPr>
      <t xml:space="preserve"> (Einzelofen)</t>
    </r>
  </si>
  <si>
    <t>Investitionskosten in neue Scheitholzheizung</t>
  </si>
  <si>
    <t>Der Jahresnutzungsgrad einer Scheitholzheizung beträgt nach Angaben der bimomassefreundlichen "Bay. Landes-anstalt für Wald- und Forstwirtschaft" 78%. (Merkblatt 34)</t>
  </si>
  <si>
    <t>NT-Kessel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</si>
</sst>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64" formatCode="#,##0.00&quot; &quot;[$€-407];[Red]&quot;-&quot;#,##0.00&quot; &quot;[$€-407]"/>
    <numFmt numFmtId="165" formatCode="0\ &quot;kW&quot;"/>
    <numFmt numFmtId="166" formatCode="#,##0\ &quot;€&quot;"/>
    <numFmt numFmtId="167" formatCode="#,##0\ &quot;kWh&quot;"/>
    <numFmt numFmtId="168" formatCode="0.0%"/>
    <numFmt numFmtId="169" formatCode="#,##0\ &quot;€/a&quot;"/>
    <numFmt numFmtId="170" formatCode="0.00\ &quot;Ct/kWh&quot;"/>
    <numFmt numFmtId="171" formatCode="0\ &quot;Jahre&quot;"/>
    <numFmt numFmtId="172" formatCode="#,##0\ &quot;qm&quot;"/>
    <numFmt numFmtId="173" formatCode="#,##0.00\ &quot;€&quot;"/>
    <numFmt numFmtId="174" formatCode="#,##0.00\ &quot;€/a&quot;"/>
    <numFmt numFmtId="175" formatCode="#,##0\ &quot;kW&quot;"/>
    <numFmt numFmtId="176" formatCode="#,##0\ &quot;Liter&quot;"/>
    <numFmt numFmtId="177" formatCode="0\ &quot;W/qm&quot;"/>
    <numFmt numFmtId="178" formatCode="#,##0\ &quot;€/kW&quot;"/>
    <numFmt numFmtId="179" formatCode="#,##0.00\ &quot;Ct/kWh&quot;"/>
    <numFmt numFmtId="180" formatCode="0.00\ &quot;kWh/Liter&quot;"/>
    <numFmt numFmtId="181" formatCode="#,##0.00\ &quot;kWh&quot;"/>
    <numFmt numFmtId="182" formatCode="0.00\ &quot;Ct/Liter&quot;"/>
    <numFmt numFmtId="183" formatCode="0.000000%"/>
    <numFmt numFmtId="184" formatCode="#,##0.0\ &quot;Ster&quot;"/>
    <numFmt numFmtId="185" formatCode="0.00\ &quot;€/Ster&quot;"/>
    <numFmt numFmtId="186" formatCode="#,##0\ &quot;kWh/Rm&quot;"/>
    <numFmt numFmtId="187" formatCode="#,##0\ &quot;kWh/Ster&quot;"/>
    <numFmt numFmtId="188" formatCode="#,##0.0\ &quot;kW&quot;"/>
    <numFmt numFmtId="189" formatCode="#,##0\ &quot;Ster&quot;"/>
    <numFmt numFmtId="190" formatCode="0\ &quot;h/a&quot;"/>
    <numFmt numFmtId="191" formatCode="#,##0\ &quot;min pro Tag&quot;"/>
    <numFmt numFmtId="192" formatCode="#,##0.0\ &quot;€/h&quot;"/>
  </numFmts>
  <fonts count="40" x14ac:knownFonts="1">
    <font>
      <sz val="11"/>
      <color theme="1"/>
      <name val="Calibri"/>
      <family val="2"/>
      <scheme val="minor"/>
    </font>
    <font>
      <sz val="11"/>
      <color theme="1"/>
      <name val="Calibri"/>
      <family val="2"/>
      <scheme val="minor"/>
    </font>
    <font>
      <sz val="11"/>
      <color rgb="FF000000"/>
      <name val="Arial"/>
      <family val="2"/>
    </font>
    <font>
      <b/>
      <i/>
      <sz val="16"/>
      <color rgb="FF000000"/>
      <name val="Arial"/>
      <family val="2"/>
    </font>
    <font>
      <b/>
      <i/>
      <u/>
      <sz val="11"/>
      <color rgb="FF000000"/>
      <name val="Arial"/>
      <family val="2"/>
    </font>
    <font>
      <b/>
      <sz val="11"/>
      <color rgb="FF000000"/>
      <name val="Arial"/>
      <family val="2"/>
    </font>
    <font>
      <b/>
      <sz val="11"/>
      <color theme="0"/>
      <name val="Arial"/>
      <family val="2"/>
    </font>
    <font>
      <sz val="11"/>
      <color theme="0"/>
      <name val="Arial"/>
      <family val="2"/>
    </font>
    <font>
      <sz val="11"/>
      <color theme="1"/>
      <name val="Arial"/>
      <family val="2"/>
    </font>
    <font>
      <b/>
      <i/>
      <sz val="16"/>
      <color theme="1"/>
      <name val="Arial"/>
      <family val="2"/>
    </font>
    <font>
      <b/>
      <i/>
      <u/>
      <sz val="11"/>
      <color theme="1"/>
      <name val="Arial"/>
      <family val="2"/>
    </font>
    <font>
      <b/>
      <sz val="11"/>
      <color theme="1"/>
      <name val="Arial"/>
      <family val="2"/>
    </font>
    <font>
      <sz val="11"/>
      <color rgb="FFFFFF00"/>
      <name val="Arial"/>
      <family val="2"/>
    </font>
    <font>
      <b/>
      <sz val="11"/>
      <name val="Arial"/>
      <family val="2"/>
    </font>
    <font>
      <sz val="11"/>
      <name val="Arial"/>
      <family val="2"/>
    </font>
    <font>
      <b/>
      <sz val="11"/>
      <color theme="2" tint="-0.749992370372631"/>
      <name val="Arial"/>
      <family val="2"/>
    </font>
    <font>
      <sz val="8"/>
      <name val="Calibri"/>
      <family val="2"/>
      <scheme val="minor"/>
    </font>
    <font>
      <sz val="11"/>
      <color rgb="FFFF0000"/>
      <name val="Calibri"/>
      <family val="2"/>
      <scheme val="minor"/>
    </font>
    <font>
      <b/>
      <sz val="18"/>
      <color theme="0"/>
      <name val="Arial"/>
      <family val="2"/>
    </font>
    <font>
      <sz val="9"/>
      <color rgb="FF000000"/>
      <name val="Arial"/>
      <family val="2"/>
    </font>
    <font>
      <b/>
      <sz val="11"/>
      <color theme="1"/>
      <name val="Calibri"/>
      <family val="2"/>
      <scheme val="minor"/>
    </font>
    <font>
      <sz val="10"/>
      <color theme="1"/>
      <name val="Arial"/>
      <family val="2"/>
    </font>
    <font>
      <b/>
      <sz val="16"/>
      <color theme="1"/>
      <name val="Arial"/>
      <family val="2"/>
    </font>
    <font>
      <b/>
      <sz val="18"/>
      <color rgb="FF000000"/>
      <name val="Arial"/>
      <family val="2"/>
    </font>
    <font>
      <sz val="11"/>
      <color rgb="FFC00000"/>
      <name val="Arial"/>
      <family val="2"/>
    </font>
    <font>
      <b/>
      <u/>
      <sz val="11"/>
      <color rgb="FF800000"/>
      <name val="Arial"/>
      <family val="2"/>
    </font>
    <font>
      <b/>
      <sz val="18"/>
      <name val="Arial"/>
      <family val="2"/>
    </font>
    <font>
      <i/>
      <sz val="10"/>
      <color theme="1"/>
      <name val="Arial"/>
      <family val="2"/>
    </font>
    <font>
      <sz val="10"/>
      <color rgb="FFC00000"/>
      <name val="Arial"/>
      <family val="2"/>
    </font>
    <font>
      <sz val="7"/>
      <color rgb="FFC00000"/>
      <name val="Arial"/>
      <family val="2"/>
    </font>
    <font>
      <u/>
      <sz val="11"/>
      <color theme="10"/>
      <name val="Calibri"/>
      <family val="2"/>
      <scheme val="minor"/>
    </font>
    <font>
      <u/>
      <sz val="11"/>
      <color rgb="FFC00000"/>
      <name val="Calibri"/>
      <family val="2"/>
      <scheme val="minor"/>
    </font>
    <font>
      <sz val="11"/>
      <color rgb="FFC00000"/>
      <name val="Calibri"/>
      <family val="2"/>
      <scheme val="minor"/>
    </font>
    <font>
      <sz val="12"/>
      <color theme="1"/>
      <name val="Arial"/>
      <family val="2"/>
    </font>
    <font>
      <sz val="8"/>
      <color theme="1"/>
      <name val="Arial"/>
      <family val="2"/>
    </font>
    <font>
      <b/>
      <sz val="10"/>
      <color theme="0"/>
      <name val="Arial"/>
      <family val="2"/>
    </font>
    <font>
      <b/>
      <sz val="10"/>
      <color rgb="FFC00000"/>
      <name val="Arial"/>
      <family val="2"/>
    </font>
    <font>
      <sz val="11"/>
      <color rgb="FFFF0000"/>
      <name val="Arial"/>
      <family val="2"/>
    </font>
    <font>
      <sz val="9"/>
      <name val="Arial"/>
      <family val="2"/>
    </font>
    <font>
      <sz val="11"/>
      <color theme="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6" tint="-0.499984740745262"/>
        <bgColor indexed="64"/>
      </patternFill>
    </fill>
    <fill>
      <patternFill patternType="solid">
        <fgColor theme="6" tint="-0.499984740745262"/>
        <bgColor rgb="FFAECF00"/>
      </patternFill>
    </fill>
    <fill>
      <patternFill patternType="solid">
        <fgColor rgb="FF800000"/>
        <bgColor rgb="FFAECF00"/>
      </patternFill>
    </fill>
    <fill>
      <patternFill patternType="solid">
        <fgColor rgb="FF80000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2"/>
        <bgColor indexed="64"/>
      </patternFill>
    </fill>
    <fill>
      <patternFill patternType="solid">
        <fgColor theme="5" tint="0.5999938962981048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s>
  <cellStyleXfs count="14">
    <xf numFmtId="0" fontId="0" fillId="0" borderId="0"/>
    <xf numFmtId="9" fontId="1" fillId="0" borderId="0" applyFont="0" applyFill="0" applyBorder="0" applyAlignment="0" applyProtection="0"/>
    <xf numFmtId="0" fontId="2" fillId="0" borderId="0"/>
    <xf numFmtId="0" fontId="3" fillId="0" borderId="0" applyNumberFormat="0" applyBorder="0" applyProtection="0">
      <alignment horizontal="center"/>
    </xf>
    <xf numFmtId="0" fontId="3" fillId="0" borderId="0" applyNumberFormat="0" applyBorder="0" applyProtection="0">
      <alignment horizontal="center" textRotation="90"/>
    </xf>
    <xf numFmtId="0" fontId="4" fillId="0" borderId="0" applyNumberFormat="0" applyBorder="0" applyProtection="0"/>
    <xf numFmtId="164" fontId="4" fillId="0" borderId="0" applyBorder="0" applyProtection="0"/>
    <xf numFmtId="0" fontId="8" fillId="0" borderId="0"/>
    <xf numFmtId="0" fontId="9" fillId="0" borderId="0">
      <alignment horizontal="center"/>
    </xf>
    <xf numFmtId="0" fontId="9" fillId="0" borderId="0">
      <alignment horizontal="center" textRotation="90"/>
    </xf>
    <xf numFmtId="0" fontId="10" fillId="0" borderId="0"/>
    <xf numFmtId="164" fontId="10" fillId="0" borderId="0"/>
    <xf numFmtId="9" fontId="1" fillId="0" borderId="0" applyFont="0" applyFill="0" applyBorder="0" applyAlignment="0" applyProtection="0"/>
    <xf numFmtId="0" fontId="30" fillId="0" borderId="0" applyNumberFormat="0" applyFill="0" applyBorder="0" applyAlignment="0" applyProtection="0"/>
  </cellStyleXfs>
  <cellXfs count="361">
    <xf numFmtId="0" fontId="0" fillId="0" borderId="0" xfId="0"/>
    <xf numFmtId="0" fontId="0" fillId="0" borderId="0" xfId="0"/>
    <xf numFmtId="168" fontId="7" fillId="0" borderId="0" xfId="1" applyNumberFormat="1" applyFont="1" applyFill="1" applyBorder="1" applyAlignment="1">
      <alignment horizontal="center"/>
    </xf>
    <xf numFmtId="0" fontId="12" fillId="0" borderId="0" xfId="2" applyFont="1"/>
    <xf numFmtId="0" fontId="7" fillId="0" borderId="0" xfId="2" applyFont="1"/>
    <xf numFmtId="0" fontId="11" fillId="0" borderId="0" xfId="0" applyFont="1" applyAlignment="1">
      <alignment vertical="center"/>
    </xf>
    <xf numFmtId="0" fontId="15" fillId="0" borderId="0" xfId="2" applyFont="1"/>
    <xf numFmtId="0" fontId="8" fillId="0" borderId="0" xfId="0" applyFont="1"/>
    <xf numFmtId="0" fontId="8" fillId="0" borderId="0" xfId="0" applyFont="1" applyAlignment="1">
      <alignment vertical="center"/>
    </xf>
    <xf numFmtId="4" fontId="8" fillId="0" borderId="10" xfId="0" applyNumberFormat="1" applyFont="1" applyFill="1" applyBorder="1" applyAlignment="1">
      <alignment horizontal="left" vertical="center" indent="1"/>
    </xf>
    <xf numFmtId="173" fontId="8" fillId="0" borderId="1" xfId="0" applyNumberFormat="1" applyFont="1" applyFill="1" applyBorder="1" applyAlignment="1">
      <alignment vertical="center"/>
    </xf>
    <xf numFmtId="4" fontId="8" fillId="0" borderId="7" xfId="0" applyNumberFormat="1" applyFont="1" applyFill="1" applyBorder="1" applyAlignment="1">
      <alignment horizontal="left" vertical="center" indent="1"/>
    </xf>
    <xf numFmtId="173" fontId="8" fillId="0" borderId="8" xfId="0" applyNumberFormat="1" applyFont="1" applyFill="1" applyBorder="1" applyAlignment="1">
      <alignment vertical="center"/>
    </xf>
    <xf numFmtId="0" fontId="8" fillId="0" borderId="0" xfId="0" applyFont="1" applyFill="1" applyAlignment="1">
      <alignment vertical="center"/>
    </xf>
    <xf numFmtId="173" fontId="8" fillId="0" borderId="0" xfId="0" applyNumberFormat="1" applyFont="1" applyFill="1" applyAlignment="1">
      <alignment vertical="center"/>
    </xf>
    <xf numFmtId="173" fontId="8" fillId="0" borderId="11" xfId="0" applyNumberFormat="1" applyFont="1" applyFill="1" applyBorder="1" applyAlignment="1">
      <alignment vertical="center"/>
    </xf>
    <xf numFmtId="173" fontId="8" fillId="0" borderId="9" xfId="0" applyNumberFormat="1" applyFont="1" applyFill="1" applyBorder="1" applyAlignment="1">
      <alignment vertical="center"/>
    </xf>
    <xf numFmtId="0" fontId="5" fillId="0" borderId="12" xfId="2" applyFont="1" applyBorder="1"/>
    <xf numFmtId="165" fontId="7" fillId="0" borderId="0" xfId="2" applyNumberFormat="1" applyFont="1" applyAlignment="1">
      <alignment horizontal="center"/>
    </xf>
    <xf numFmtId="0" fontId="5" fillId="0" borderId="27" xfId="2" applyFont="1" applyBorder="1"/>
    <xf numFmtId="167" fontId="7" fillId="0" borderId="0" xfId="2" applyNumberFormat="1" applyFont="1" applyAlignment="1">
      <alignment horizontal="center"/>
    </xf>
    <xf numFmtId="0" fontId="19" fillId="0" borderId="0" xfId="2" applyFont="1" applyAlignment="1">
      <alignment vertical="center"/>
    </xf>
    <xf numFmtId="0" fontId="13" fillId="0" borderId="12" xfId="2" applyFont="1" applyBorder="1" applyAlignment="1">
      <alignment horizontal="left" vertical="center"/>
    </xf>
    <xf numFmtId="0" fontId="5" fillId="0" borderId="0" xfId="2" applyFont="1"/>
    <xf numFmtId="0" fontId="14" fillId="0" borderId="14" xfId="2" applyFont="1" applyBorder="1" applyAlignment="1">
      <alignment horizontal="left" vertical="center" indent="1"/>
    </xf>
    <xf numFmtId="0" fontId="14" fillId="0" borderId="13" xfId="2" applyFont="1" applyBorder="1" applyAlignment="1">
      <alignment horizontal="left" vertical="center" indent="1"/>
    </xf>
    <xf numFmtId="0" fontId="14" fillId="0" borderId="0" xfId="2" applyFont="1" applyAlignment="1">
      <alignment horizontal="left" indent="1"/>
    </xf>
    <xf numFmtId="170" fontId="7" fillId="0" borderId="0" xfId="2" applyNumberFormat="1" applyFont="1" applyAlignment="1">
      <alignment horizontal="center"/>
    </xf>
    <xf numFmtId="0" fontId="7" fillId="0" borderId="0" xfId="2" applyFont="1" applyAlignment="1">
      <alignment horizontal="center"/>
    </xf>
    <xf numFmtId="0" fontId="7" fillId="0" borderId="18" xfId="2" applyFont="1" applyBorder="1" applyAlignment="1">
      <alignment horizontal="center"/>
    </xf>
    <xf numFmtId="0" fontId="5" fillId="0" borderId="27" xfId="2" applyFont="1" applyBorder="1" applyAlignment="1">
      <alignment vertical="center"/>
    </xf>
    <xf numFmtId="165" fontId="13" fillId="0" borderId="12" xfId="2" applyNumberFormat="1" applyFont="1" applyFill="1" applyBorder="1" applyAlignment="1">
      <alignment horizontal="center"/>
    </xf>
    <xf numFmtId="181" fontId="7" fillId="0" borderId="14" xfId="2" applyNumberFormat="1" applyFont="1" applyFill="1" applyBorder="1" applyAlignment="1">
      <alignment horizontal="center"/>
    </xf>
    <xf numFmtId="181" fontId="14" fillId="0" borderId="14" xfId="2" applyNumberFormat="1" applyFont="1" applyFill="1" applyBorder="1" applyAlignment="1">
      <alignment horizontal="center"/>
    </xf>
    <xf numFmtId="0" fontId="5" fillId="0" borderId="13" xfId="2" applyFont="1" applyBorder="1" applyAlignment="1">
      <alignment horizontal="left" vertical="center"/>
    </xf>
    <xf numFmtId="167" fontId="13" fillId="0" borderId="13" xfId="2" applyNumberFormat="1" applyFont="1" applyFill="1" applyBorder="1" applyAlignment="1">
      <alignment horizontal="center"/>
    </xf>
    <xf numFmtId="169" fontId="13" fillId="0" borderId="12" xfId="2" applyNumberFormat="1" applyFont="1" applyFill="1" applyBorder="1" applyAlignment="1">
      <alignment horizontal="center"/>
    </xf>
    <xf numFmtId="167" fontId="14" fillId="0" borderId="14" xfId="2" applyNumberFormat="1" applyFont="1" applyFill="1" applyBorder="1" applyAlignment="1">
      <alignment horizontal="center"/>
    </xf>
    <xf numFmtId="182" fontId="14" fillId="0" borderId="13" xfId="2" applyNumberFormat="1" applyFont="1" applyFill="1" applyBorder="1" applyAlignment="1">
      <alignment horizontal="center"/>
    </xf>
    <xf numFmtId="166" fontId="6" fillId="0" borderId="0" xfId="2" applyNumberFormat="1" applyFont="1" applyFill="1" applyBorder="1" applyAlignment="1">
      <alignment horizontal="center"/>
    </xf>
    <xf numFmtId="166" fontId="7" fillId="0" borderId="0" xfId="2" applyNumberFormat="1" applyFont="1" applyFill="1" applyBorder="1" applyAlignment="1">
      <alignment horizontal="center"/>
    </xf>
    <xf numFmtId="0" fontId="7" fillId="0" borderId="0" xfId="2" applyFont="1" applyFill="1" applyBorder="1" applyAlignment="1">
      <alignment horizontal="center"/>
    </xf>
    <xf numFmtId="171" fontId="7" fillId="0" borderId="0" xfId="2" applyNumberFormat="1" applyFont="1" applyFill="1" applyBorder="1" applyAlignment="1">
      <alignment horizontal="center"/>
    </xf>
    <xf numFmtId="169" fontId="6" fillId="0" borderId="0" xfId="2" applyNumberFormat="1" applyFont="1" applyFill="1" applyBorder="1" applyAlignment="1">
      <alignment horizontal="center"/>
    </xf>
    <xf numFmtId="167" fontId="13" fillId="0" borderId="27" xfId="2" applyNumberFormat="1" applyFont="1" applyFill="1" applyBorder="1" applyAlignment="1">
      <alignment horizontal="center"/>
    </xf>
    <xf numFmtId="177" fontId="14" fillId="0" borderId="13" xfId="2" applyNumberFormat="1" applyFont="1" applyFill="1" applyBorder="1" applyAlignment="1">
      <alignment horizontal="center"/>
    </xf>
    <xf numFmtId="172" fontId="13" fillId="0" borderId="27" xfId="2" applyNumberFormat="1" applyFont="1" applyFill="1" applyBorder="1" applyAlignment="1">
      <alignment horizontal="center"/>
    </xf>
    <xf numFmtId="170" fontId="14" fillId="0" borderId="13" xfId="0" applyNumberFormat="1" applyFont="1" applyFill="1" applyBorder="1" applyAlignment="1">
      <alignment horizontal="center"/>
    </xf>
    <xf numFmtId="0" fontId="7" fillId="0" borderId="18" xfId="2" applyFont="1" applyFill="1" applyBorder="1" applyAlignment="1">
      <alignment horizontal="center"/>
    </xf>
    <xf numFmtId="0" fontId="7" fillId="0" borderId="0" xfId="2" applyFont="1" applyFill="1" applyBorder="1"/>
    <xf numFmtId="0" fontId="19" fillId="0" borderId="0" xfId="2" applyFont="1" applyFill="1" applyBorder="1" applyAlignment="1">
      <alignment vertical="center"/>
    </xf>
    <xf numFmtId="0" fontId="5" fillId="0" borderId="0" xfId="2" applyFont="1" applyFill="1" applyBorder="1"/>
    <xf numFmtId="170" fontId="7" fillId="0" borderId="0" xfId="2" applyNumberFormat="1" applyFont="1" applyFill="1" applyBorder="1" applyAlignment="1">
      <alignment horizontal="center"/>
    </xf>
    <xf numFmtId="0" fontId="15" fillId="0" borderId="0" xfId="2" applyFont="1" applyFill="1" applyBorder="1"/>
    <xf numFmtId="168" fontId="14" fillId="0" borderId="12" xfId="1" applyNumberFormat="1" applyFont="1" applyFill="1" applyBorder="1" applyAlignment="1">
      <alignment horizontal="center"/>
    </xf>
    <xf numFmtId="0" fontId="7" fillId="0" borderId="31" xfId="2" applyFont="1" applyBorder="1"/>
    <xf numFmtId="0" fontId="19" fillId="0" borderId="31" xfId="2" applyFont="1" applyBorder="1" applyAlignment="1">
      <alignment vertical="center"/>
    </xf>
    <xf numFmtId="0" fontId="5" fillId="0" borderId="31" xfId="2" applyFont="1" applyBorder="1"/>
    <xf numFmtId="0" fontId="15" fillId="0" borderId="31" xfId="2" applyFont="1" applyBorder="1"/>
    <xf numFmtId="171" fontId="14" fillId="0" borderId="12" xfId="2" applyNumberFormat="1" applyFont="1" applyFill="1" applyBorder="1" applyAlignment="1">
      <alignment horizontal="center"/>
    </xf>
    <xf numFmtId="168" fontId="14" fillId="0" borderId="13" xfId="1" applyNumberFormat="1" applyFont="1" applyFill="1" applyBorder="1" applyAlignment="1">
      <alignment horizontal="center"/>
    </xf>
    <xf numFmtId="166" fontId="13" fillId="0" borderId="12" xfId="2" applyNumberFormat="1" applyFont="1" applyFill="1" applyBorder="1" applyAlignment="1">
      <alignment horizontal="center"/>
    </xf>
    <xf numFmtId="166" fontId="13" fillId="0" borderId="13" xfId="2" applyNumberFormat="1" applyFont="1" applyFill="1" applyBorder="1" applyAlignment="1">
      <alignment horizontal="center"/>
    </xf>
    <xf numFmtId="0" fontId="18" fillId="0" borderId="0" xfId="0" applyFont="1" applyFill="1" applyBorder="1" applyAlignment="1">
      <alignment vertical="center"/>
    </xf>
    <xf numFmtId="169" fontId="6" fillId="4" borderId="12" xfId="2" applyNumberFormat="1" applyFont="1" applyFill="1" applyBorder="1" applyAlignment="1">
      <alignment horizontal="center"/>
    </xf>
    <xf numFmtId="179" fontId="6" fillId="4" borderId="13" xfId="2" applyNumberFormat="1" applyFont="1" applyFill="1" applyBorder="1" applyAlignment="1">
      <alignment horizontal="center"/>
    </xf>
    <xf numFmtId="169" fontId="6" fillId="4" borderId="1" xfId="2" applyNumberFormat="1" applyFont="1" applyFill="1" applyBorder="1" applyAlignment="1">
      <alignment horizontal="center"/>
    </xf>
    <xf numFmtId="0" fontId="7" fillId="0" borderId="0" xfId="2" applyFont="1" applyBorder="1"/>
    <xf numFmtId="0" fontId="6" fillId="0" borderId="18" xfId="0" applyFont="1" applyFill="1" applyBorder="1" applyAlignment="1">
      <alignment horizontal="left" vertical="center"/>
    </xf>
    <xf numFmtId="179" fontId="6" fillId="0" borderId="18" xfId="2" applyNumberFormat="1" applyFont="1" applyFill="1" applyBorder="1" applyAlignment="1">
      <alignment horizontal="center"/>
    </xf>
    <xf numFmtId="0" fontId="7" fillId="0" borderId="18" xfId="2" applyFont="1" applyFill="1" applyBorder="1"/>
    <xf numFmtId="0" fontId="7" fillId="0" borderId="18" xfId="2" applyFont="1" applyBorder="1"/>
    <xf numFmtId="169" fontId="6" fillId="7" borderId="12" xfId="2" applyNumberFormat="1" applyFont="1" applyFill="1" applyBorder="1" applyAlignment="1">
      <alignment horizontal="center"/>
    </xf>
    <xf numFmtId="179" fontId="6" fillId="7" borderId="13" xfId="2" applyNumberFormat="1" applyFont="1" applyFill="1" applyBorder="1" applyAlignment="1">
      <alignment horizontal="center"/>
    </xf>
    <xf numFmtId="0" fontId="21" fillId="0" borderId="0" xfId="0" applyFont="1" applyAlignment="1">
      <alignment horizontal="left" vertical="center"/>
    </xf>
    <xf numFmtId="0" fontId="22" fillId="0" borderId="0" xfId="0" applyFont="1" applyAlignment="1">
      <alignment horizontal="center" vertical="center"/>
    </xf>
    <xf numFmtId="0" fontId="2" fillId="0" borderId="0" xfId="2" applyFont="1" applyBorder="1" applyAlignment="1">
      <alignment vertical="center"/>
    </xf>
    <xf numFmtId="0" fontId="2" fillId="0" borderId="0" xfId="2" applyFont="1"/>
    <xf numFmtId="172" fontId="2" fillId="0" borderId="0" xfId="2" applyNumberFormat="1" applyFont="1"/>
    <xf numFmtId="172" fontId="2" fillId="0" borderId="31" xfId="2" applyNumberFormat="1" applyFont="1" applyBorder="1"/>
    <xf numFmtId="172" fontId="2" fillId="0" borderId="0" xfId="2" applyNumberFormat="1" applyFont="1" applyFill="1" applyBorder="1"/>
    <xf numFmtId="0" fontId="2" fillId="0" borderId="31" xfId="2" applyFont="1" applyBorder="1"/>
    <xf numFmtId="0" fontId="2" fillId="0" borderId="0" xfId="2" applyFont="1" applyFill="1" applyBorder="1"/>
    <xf numFmtId="0" fontId="2" fillId="0" borderId="13" xfId="2" applyFont="1" applyBorder="1"/>
    <xf numFmtId="177" fontId="2" fillId="0" borderId="0" xfId="2" applyNumberFormat="1" applyFont="1" applyFill="1" applyBorder="1"/>
    <xf numFmtId="0" fontId="2" fillId="0" borderId="0" xfId="2" applyFont="1" applyAlignment="1">
      <alignment horizontal="left" indent="1"/>
    </xf>
    <xf numFmtId="0" fontId="2" fillId="0" borderId="12" xfId="2" applyFont="1" applyBorder="1" applyAlignment="1">
      <alignment horizontal="left"/>
    </xf>
    <xf numFmtId="0" fontId="2" fillId="0" borderId="14" xfId="2" applyFont="1" applyBorder="1"/>
    <xf numFmtId="0" fontId="2" fillId="0" borderId="28" xfId="2" applyFont="1" applyBorder="1" applyAlignment="1">
      <alignment vertical="center"/>
    </xf>
    <xf numFmtId="0" fontId="2" fillId="0" borderId="29" xfId="2" applyFont="1" applyBorder="1" applyAlignment="1">
      <alignment vertical="center"/>
    </xf>
    <xf numFmtId="0" fontId="8" fillId="0" borderId="31" xfId="0" applyFont="1" applyBorder="1"/>
    <xf numFmtId="0" fontId="8" fillId="0" borderId="0" xfId="0" applyFont="1" applyFill="1" applyBorder="1"/>
    <xf numFmtId="0" fontId="2" fillId="0" borderId="18" xfId="2" applyFont="1" applyFill="1" applyBorder="1"/>
    <xf numFmtId="172" fontId="2" fillId="0" borderId="18" xfId="2" applyNumberFormat="1" applyFont="1" applyFill="1" applyBorder="1" applyAlignment="1"/>
    <xf numFmtId="172" fontId="2" fillId="0" borderId="0" xfId="2" applyNumberFormat="1" applyFont="1" applyFill="1" applyBorder="1" applyAlignment="1"/>
    <xf numFmtId="0" fontId="2" fillId="0" borderId="0" xfId="2" applyFont="1" applyBorder="1"/>
    <xf numFmtId="0" fontId="2" fillId="0" borderId="12" xfId="2" applyFont="1" applyBorder="1"/>
    <xf numFmtId="172" fontId="2" fillId="3" borderId="26" xfId="2" applyNumberFormat="1" applyFont="1" applyFill="1" applyBorder="1" applyAlignment="1"/>
    <xf numFmtId="172" fontId="2" fillId="3" borderId="32" xfId="2" applyNumberFormat="1" applyFont="1" applyFill="1" applyBorder="1" applyAlignment="1"/>
    <xf numFmtId="0" fontId="8" fillId="0" borderId="0" xfId="0" applyFont="1" applyBorder="1"/>
    <xf numFmtId="0" fontId="2" fillId="0" borderId="18" xfId="2" applyFont="1" applyBorder="1"/>
    <xf numFmtId="169" fontId="8" fillId="0" borderId="0" xfId="0" applyNumberFormat="1" applyFont="1"/>
    <xf numFmtId="165" fontId="8" fillId="0" borderId="0" xfId="0" applyNumberFormat="1" applyFont="1"/>
    <xf numFmtId="9" fontId="8" fillId="0" borderId="0" xfId="1" applyFont="1"/>
    <xf numFmtId="0" fontId="5" fillId="0" borderId="13" xfId="2" applyFont="1" applyBorder="1" applyAlignment="1">
      <alignment vertical="center"/>
    </xf>
    <xf numFmtId="0" fontId="5" fillId="0" borderId="12" xfId="2" applyFont="1" applyBorder="1" applyAlignment="1">
      <alignment horizontal="center" vertical="center" wrapText="1"/>
    </xf>
    <xf numFmtId="0" fontId="2" fillId="0" borderId="18" xfId="2" applyFont="1" applyBorder="1" applyAlignment="1">
      <alignment vertical="center"/>
    </xf>
    <xf numFmtId="0" fontId="5" fillId="0" borderId="13" xfId="2" applyFont="1" applyBorder="1" applyAlignment="1">
      <alignment horizontal="center" vertical="center"/>
    </xf>
    <xf numFmtId="0" fontId="6" fillId="6" borderId="27" xfId="0" applyFont="1" applyFill="1" applyBorder="1" applyAlignment="1">
      <alignment horizontal="left" vertical="center"/>
    </xf>
    <xf numFmtId="169" fontId="6" fillId="7" borderId="27" xfId="2" applyNumberFormat="1" applyFont="1" applyFill="1" applyBorder="1" applyAlignment="1">
      <alignment horizontal="center"/>
    </xf>
    <xf numFmtId="169" fontId="6" fillId="4" borderId="27" xfId="2" applyNumberFormat="1" applyFont="1" applyFill="1" applyBorder="1" applyAlignment="1">
      <alignment horizontal="center"/>
    </xf>
    <xf numFmtId="0" fontId="6" fillId="5" borderId="27" xfId="0" applyFont="1" applyFill="1" applyBorder="1" applyAlignment="1">
      <alignment horizontal="left" vertical="center"/>
    </xf>
    <xf numFmtId="0" fontId="2" fillId="0" borderId="28" xfId="2" applyFont="1" applyBorder="1"/>
    <xf numFmtId="9" fontId="14" fillId="0" borderId="28" xfId="1" applyFont="1" applyFill="1" applyBorder="1" applyAlignment="1">
      <alignment horizontal="center"/>
    </xf>
    <xf numFmtId="166" fontId="13" fillId="0" borderId="14" xfId="2" applyNumberFormat="1" applyFont="1" applyFill="1" applyBorder="1" applyAlignment="1">
      <alignment horizontal="center"/>
    </xf>
    <xf numFmtId="166" fontId="13" fillId="0" borderId="27" xfId="2" applyNumberFormat="1" applyFont="1" applyFill="1" applyBorder="1" applyAlignment="1">
      <alignment horizontal="center"/>
    </xf>
    <xf numFmtId="0" fontId="14" fillId="0" borderId="18" xfId="2" applyFont="1" applyBorder="1" applyAlignment="1">
      <alignment horizontal="left" indent="1"/>
    </xf>
    <xf numFmtId="170" fontId="7" fillId="0" borderId="18" xfId="2" applyNumberFormat="1" applyFont="1" applyBorder="1" applyAlignment="1">
      <alignment horizontal="center"/>
    </xf>
    <xf numFmtId="184" fontId="2" fillId="0" borderId="0" xfId="2" applyNumberFormat="1" applyFont="1"/>
    <xf numFmtId="0" fontId="2" fillId="0" borderId="13" xfId="2" applyFont="1" applyBorder="1" applyAlignment="1">
      <alignment vertical="center"/>
    </xf>
    <xf numFmtId="185" fontId="14" fillId="0" borderId="13" xfId="2" applyNumberFormat="1" applyFont="1" applyFill="1" applyBorder="1" applyAlignment="1">
      <alignment horizontal="center"/>
    </xf>
    <xf numFmtId="184" fontId="13" fillId="0" borderId="12" xfId="2" applyNumberFormat="1" applyFont="1" applyFill="1" applyBorder="1" applyAlignment="1">
      <alignment horizontal="center"/>
    </xf>
    <xf numFmtId="9" fontId="14" fillId="0" borderId="42" xfId="1" applyFont="1" applyFill="1" applyBorder="1" applyAlignment="1">
      <alignment horizontal="center"/>
    </xf>
    <xf numFmtId="9" fontId="14" fillId="0" borderId="13" xfId="1" applyFont="1" applyFill="1" applyBorder="1" applyAlignment="1">
      <alignment horizontal="center"/>
    </xf>
    <xf numFmtId="0" fontId="2" fillId="0" borderId="14" xfId="2" applyFont="1" applyBorder="1" applyAlignment="1">
      <alignment horizontal="left" indent="1"/>
    </xf>
    <xf numFmtId="0" fontId="2" fillId="0" borderId="13" xfId="2" applyFont="1" applyBorder="1" applyAlignment="1">
      <alignment horizontal="left" indent="1"/>
    </xf>
    <xf numFmtId="170" fontId="7" fillId="0" borderId="18" xfId="2" applyNumberFormat="1" applyFont="1" applyFill="1" applyBorder="1" applyAlignment="1">
      <alignment horizontal="center"/>
    </xf>
    <xf numFmtId="187" fontId="14" fillId="0" borderId="14" xfId="2" applyNumberFormat="1" applyFont="1" applyFill="1" applyBorder="1" applyAlignment="1">
      <alignment horizontal="center"/>
    </xf>
    <xf numFmtId="0" fontId="18" fillId="7" borderId="12" xfId="2" applyFont="1" applyFill="1" applyBorder="1" applyAlignment="1">
      <alignment horizontal="center" vertical="center"/>
    </xf>
    <xf numFmtId="0" fontId="23" fillId="0" borderId="0" xfId="2" applyFont="1" applyBorder="1" applyAlignment="1">
      <alignment vertical="center"/>
    </xf>
    <xf numFmtId="184" fontId="13" fillId="8" borderId="12" xfId="2" applyNumberFormat="1" applyFont="1" applyFill="1" applyBorder="1" applyAlignment="1">
      <alignment horizontal="center"/>
    </xf>
    <xf numFmtId="0" fontId="14" fillId="0" borderId="0" xfId="2" applyFont="1" applyBorder="1" applyAlignment="1">
      <alignment horizontal="left" indent="1"/>
    </xf>
    <xf numFmtId="170" fontId="7" fillId="0" borderId="0" xfId="2" applyNumberFormat="1" applyFont="1" applyBorder="1" applyAlignment="1">
      <alignment horizontal="center"/>
    </xf>
    <xf numFmtId="185" fontId="14" fillId="0" borderId="18" xfId="2" applyNumberFormat="1" applyFont="1" applyFill="1" applyBorder="1" applyAlignment="1">
      <alignment horizontal="center"/>
    </xf>
    <xf numFmtId="185" fontId="7" fillId="0" borderId="18" xfId="2" applyNumberFormat="1" applyFont="1" applyFill="1" applyBorder="1" applyAlignment="1">
      <alignment horizontal="center"/>
    </xf>
    <xf numFmtId="0" fontId="5" fillId="8" borderId="12" xfId="2" applyFont="1" applyFill="1" applyBorder="1"/>
    <xf numFmtId="0" fontId="5" fillId="8" borderId="13" xfId="2" applyFont="1" applyFill="1" applyBorder="1"/>
    <xf numFmtId="0" fontId="13" fillId="0" borderId="27" xfId="2" applyFont="1" applyBorder="1" applyAlignment="1"/>
    <xf numFmtId="0" fontId="5" fillId="8" borderId="14" xfId="2" applyFont="1" applyFill="1" applyBorder="1"/>
    <xf numFmtId="0" fontId="2" fillId="3" borderId="32" xfId="2" applyFont="1" applyFill="1" applyBorder="1" applyAlignment="1"/>
    <xf numFmtId="0" fontId="2" fillId="3" borderId="25" xfId="2" applyFont="1" applyFill="1" applyBorder="1" applyAlignment="1"/>
    <xf numFmtId="0" fontId="25" fillId="0" borderId="0" xfId="2" applyFont="1" applyAlignment="1">
      <alignment vertical="center"/>
    </xf>
    <xf numFmtId="166" fontId="6" fillId="0" borderId="18" xfId="2" applyNumberFormat="1" applyFont="1" applyFill="1" applyBorder="1" applyAlignment="1">
      <alignment horizontal="center"/>
    </xf>
    <xf numFmtId="9" fontId="14" fillId="8" borderId="28" xfId="1" applyFont="1" applyFill="1" applyBorder="1" applyAlignment="1">
      <alignment horizontal="center"/>
    </xf>
    <xf numFmtId="0" fontId="6" fillId="6" borderId="10" xfId="0" applyFont="1" applyFill="1" applyBorder="1" applyAlignment="1">
      <alignment vertical="center"/>
    </xf>
    <xf numFmtId="169" fontId="6" fillId="7" borderId="1" xfId="2" applyNumberFormat="1" applyFont="1" applyFill="1" applyBorder="1" applyAlignment="1">
      <alignment horizontal="center"/>
    </xf>
    <xf numFmtId="179" fontId="6" fillId="7" borderId="1" xfId="2" applyNumberFormat="1" applyFont="1" applyFill="1" applyBorder="1" applyAlignment="1">
      <alignment horizontal="center"/>
    </xf>
    <xf numFmtId="165" fontId="24" fillId="0" borderId="0" xfId="0" applyNumberFormat="1" applyFont="1" applyBorder="1" applyAlignment="1">
      <alignment horizontal="left" wrapText="1"/>
    </xf>
    <xf numFmtId="0" fontId="27" fillId="0" borderId="0" xfId="0" applyFont="1" applyAlignment="1">
      <alignment horizontal="left" vertical="center"/>
    </xf>
    <xf numFmtId="184" fontId="14" fillId="2" borderId="13" xfId="2" applyNumberFormat="1" applyFont="1" applyFill="1" applyBorder="1" applyAlignment="1">
      <alignment horizontal="center"/>
    </xf>
    <xf numFmtId="166" fontId="13" fillId="9" borderId="14" xfId="2" applyNumberFormat="1" applyFont="1" applyFill="1" applyBorder="1" applyAlignment="1">
      <alignment horizontal="center"/>
    </xf>
    <xf numFmtId="0" fontId="6" fillId="5" borderId="10" xfId="0" applyFont="1" applyFill="1" applyBorder="1" applyAlignment="1">
      <alignment vertical="center"/>
    </xf>
    <xf numFmtId="0" fontId="13" fillId="11" borderId="13" xfId="2" applyFont="1" applyFill="1" applyBorder="1" applyAlignment="1">
      <alignment horizontal="center" vertical="center" wrapText="1"/>
    </xf>
    <xf numFmtId="176" fontId="13" fillId="11" borderId="27" xfId="2" applyNumberFormat="1" applyFont="1" applyFill="1" applyBorder="1" applyAlignment="1">
      <alignment horizontal="center"/>
    </xf>
    <xf numFmtId="168" fontId="14" fillId="11" borderId="12" xfId="1" applyNumberFormat="1" applyFont="1" applyFill="1" applyBorder="1" applyAlignment="1">
      <alignment horizontal="center"/>
    </xf>
    <xf numFmtId="182" fontId="14" fillId="11" borderId="14" xfId="2" applyNumberFormat="1" applyFont="1" applyFill="1" applyBorder="1" applyAlignment="1">
      <alignment horizontal="center"/>
    </xf>
    <xf numFmtId="184" fontId="13" fillId="11" borderId="12" xfId="2" applyNumberFormat="1" applyFont="1" applyFill="1" applyBorder="1" applyAlignment="1">
      <alignment horizontal="center"/>
    </xf>
    <xf numFmtId="9" fontId="14" fillId="11" borderId="14" xfId="1" applyFont="1" applyFill="1" applyBorder="1" applyAlignment="1">
      <alignment horizontal="center"/>
    </xf>
    <xf numFmtId="185" fontId="14" fillId="11" borderId="13" xfId="2" applyNumberFormat="1" applyFont="1" applyFill="1" applyBorder="1" applyAlignment="1">
      <alignment horizontal="center"/>
    </xf>
    <xf numFmtId="169" fontId="14" fillId="11" borderId="12" xfId="2" applyNumberFormat="1" applyFont="1" applyFill="1" applyBorder="1" applyAlignment="1">
      <alignment horizontal="center"/>
    </xf>
    <xf numFmtId="166" fontId="13" fillId="11" borderId="12" xfId="2" applyNumberFormat="1" applyFont="1" applyFill="1" applyBorder="1" applyAlignment="1">
      <alignment horizontal="center"/>
    </xf>
    <xf numFmtId="166" fontId="13" fillId="11" borderId="14" xfId="2" applyNumberFormat="1" applyFont="1" applyFill="1" applyBorder="1" applyAlignment="1">
      <alignment horizontal="center"/>
    </xf>
    <xf numFmtId="166" fontId="13" fillId="11" borderId="13" xfId="2" applyNumberFormat="1" applyFont="1" applyFill="1" applyBorder="1" applyAlignment="1">
      <alignment horizontal="center"/>
    </xf>
    <xf numFmtId="171" fontId="14" fillId="11" borderId="12" xfId="2" applyNumberFormat="1" applyFont="1" applyFill="1" applyBorder="1" applyAlignment="1">
      <alignment horizontal="center"/>
    </xf>
    <xf numFmtId="168" fontId="14" fillId="11" borderId="13" xfId="1" applyNumberFormat="1" applyFont="1" applyFill="1" applyBorder="1" applyAlignment="1">
      <alignment horizontal="center"/>
    </xf>
    <xf numFmtId="173" fontId="17" fillId="0" borderId="0" xfId="0" applyNumberFormat="1" applyFont="1"/>
    <xf numFmtId="4" fontId="6" fillId="7" borderId="4" xfId="0" applyNumberFormat="1" applyFont="1" applyFill="1" applyBorder="1" applyAlignment="1">
      <alignment vertical="center"/>
    </xf>
    <xf numFmtId="175" fontId="6" fillId="6" borderId="5" xfId="0" applyNumberFormat="1" applyFont="1" applyFill="1" applyBorder="1" applyAlignment="1">
      <alignment horizontal="right" vertical="center"/>
    </xf>
    <xf numFmtId="175" fontId="6" fillId="6" borderId="6" xfId="0" applyNumberFormat="1" applyFont="1" applyFill="1" applyBorder="1" applyAlignment="1">
      <alignment horizontal="right" vertical="center"/>
    </xf>
    <xf numFmtId="174" fontId="6" fillId="7" borderId="1" xfId="0" applyNumberFormat="1" applyFont="1" applyFill="1" applyBorder="1" applyAlignment="1">
      <alignment vertical="center"/>
    </xf>
    <xf numFmtId="174" fontId="6" fillId="7" borderId="11" xfId="0" applyNumberFormat="1" applyFont="1" applyFill="1" applyBorder="1" applyAlignment="1">
      <alignment vertical="center"/>
    </xf>
    <xf numFmtId="10" fontId="6" fillId="7" borderId="1" xfId="1" applyNumberFormat="1" applyFont="1" applyFill="1" applyBorder="1" applyAlignment="1">
      <alignment vertical="center"/>
    </xf>
    <xf numFmtId="10" fontId="6" fillId="7" borderId="11" xfId="1" applyNumberFormat="1" applyFont="1" applyFill="1" applyBorder="1" applyAlignment="1">
      <alignment vertical="center"/>
    </xf>
    <xf numFmtId="4" fontId="6" fillId="7" borderId="10" xfId="0" applyNumberFormat="1" applyFont="1" applyFill="1" applyBorder="1" applyAlignment="1">
      <alignment vertical="center"/>
    </xf>
    <xf numFmtId="173" fontId="6" fillId="7" borderId="1" xfId="0" applyNumberFormat="1" applyFont="1" applyFill="1" applyBorder="1" applyAlignment="1">
      <alignment vertical="center"/>
    </xf>
    <xf numFmtId="173" fontId="6" fillId="7" borderId="11" xfId="0" applyNumberFormat="1" applyFont="1" applyFill="1" applyBorder="1" applyAlignment="1">
      <alignment vertical="center"/>
    </xf>
    <xf numFmtId="178" fontId="6" fillId="7" borderId="8" xfId="0" applyNumberFormat="1" applyFont="1" applyFill="1" applyBorder="1" applyAlignment="1">
      <alignment vertical="center"/>
    </xf>
    <xf numFmtId="178" fontId="6" fillId="7" borderId="9" xfId="0" applyNumberFormat="1" applyFont="1" applyFill="1" applyBorder="1" applyAlignment="1">
      <alignment vertical="center"/>
    </xf>
    <xf numFmtId="4" fontId="6" fillId="7" borderId="20" xfId="0" applyNumberFormat="1" applyFont="1" applyFill="1" applyBorder="1" applyAlignment="1">
      <alignment vertical="center"/>
    </xf>
    <xf numFmtId="175" fontId="6" fillId="6" borderId="6" xfId="0" applyNumberFormat="1" applyFont="1" applyFill="1" applyBorder="1" applyAlignment="1">
      <alignment horizontal="center" vertical="center"/>
    </xf>
    <xf numFmtId="0" fontId="20" fillId="0" borderId="0" xfId="0" applyFont="1" applyAlignment="1">
      <alignment horizontal="center"/>
    </xf>
    <xf numFmtId="0" fontId="11" fillId="0" borderId="0" xfId="0" applyFont="1"/>
    <xf numFmtId="169" fontId="8" fillId="8" borderId="12" xfId="0" applyNumberFormat="1" applyFont="1" applyFill="1" applyBorder="1"/>
    <xf numFmtId="169" fontId="8" fillId="8" borderId="14" xfId="0" applyNumberFormat="1" applyFont="1" applyFill="1" applyBorder="1"/>
    <xf numFmtId="0" fontId="8" fillId="8" borderId="12" xfId="0" applyFont="1" applyFill="1" applyBorder="1"/>
    <xf numFmtId="0" fontId="8" fillId="8" borderId="14" xfId="0" applyFont="1" applyFill="1" applyBorder="1"/>
    <xf numFmtId="169" fontId="8" fillId="8" borderId="28" xfId="0" applyNumberFormat="1" applyFont="1" applyFill="1" applyBorder="1"/>
    <xf numFmtId="169" fontId="6" fillId="4" borderId="27" xfId="0" applyNumberFormat="1" applyFont="1" applyFill="1" applyBorder="1"/>
    <xf numFmtId="0" fontId="28" fillId="0" borderId="0" xfId="0" applyFont="1" applyBorder="1" applyAlignment="1">
      <alignment horizontal="left" vertical="center" wrapText="1"/>
    </xf>
    <xf numFmtId="0" fontId="8" fillId="0" borderId="0" xfId="0" applyFont="1" applyBorder="1" applyAlignment="1"/>
    <xf numFmtId="0" fontId="33" fillId="0" borderId="0" xfId="0" applyFont="1"/>
    <xf numFmtId="172" fontId="2" fillId="3" borderId="25" xfId="2" applyNumberFormat="1" applyFont="1" applyFill="1" applyBorder="1" applyAlignment="1"/>
    <xf numFmtId="169" fontId="35" fillId="4" borderId="27" xfId="0" applyNumberFormat="1" applyFont="1" applyFill="1" applyBorder="1"/>
    <xf numFmtId="166" fontId="6" fillId="7" borderId="21" xfId="0" applyNumberFormat="1" applyFont="1" applyFill="1" applyBorder="1" applyAlignment="1">
      <alignment vertical="center"/>
    </xf>
    <xf numFmtId="0" fontId="24" fillId="0" borderId="39" xfId="0" applyFont="1" applyBorder="1" applyAlignment="1"/>
    <xf numFmtId="0" fontId="24" fillId="0" borderId="40" xfId="0" applyFont="1" applyBorder="1" applyAlignment="1"/>
    <xf numFmtId="0" fontId="24" fillId="0" borderId="41" xfId="0" applyFont="1" applyBorder="1" applyAlignment="1"/>
    <xf numFmtId="188" fontId="6" fillId="6" borderId="6" xfId="0" applyNumberFormat="1" applyFont="1" applyFill="1" applyBorder="1" applyAlignment="1">
      <alignment horizontal="center" vertical="center"/>
    </xf>
    <xf numFmtId="174" fontId="6" fillId="7" borderId="11" xfId="0" applyNumberFormat="1" applyFont="1" applyFill="1" applyBorder="1" applyAlignment="1">
      <alignment horizontal="center" vertical="center"/>
    </xf>
    <xf numFmtId="10" fontId="6" fillId="7" borderId="11" xfId="1" applyNumberFormat="1" applyFont="1" applyFill="1" applyBorder="1" applyAlignment="1">
      <alignment horizontal="center" vertical="center"/>
    </xf>
    <xf numFmtId="173" fontId="6" fillId="7" borderId="11" xfId="0" applyNumberFormat="1" applyFont="1" applyFill="1" applyBorder="1" applyAlignment="1">
      <alignment horizontal="center" vertical="center"/>
    </xf>
    <xf numFmtId="178" fontId="6" fillId="7" borderId="9" xfId="0" applyNumberFormat="1" applyFont="1" applyFill="1" applyBorder="1" applyAlignment="1">
      <alignment horizontal="center" vertical="center"/>
    </xf>
    <xf numFmtId="0" fontId="8" fillId="0" borderId="1" xfId="0" applyFont="1" applyBorder="1" applyAlignment="1">
      <alignment horizontal="left" indent="1"/>
    </xf>
    <xf numFmtId="167" fontId="13" fillId="0" borderId="0" xfId="2" applyNumberFormat="1" applyFont="1" applyFill="1" applyBorder="1" applyAlignment="1">
      <alignment horizontal="center"/>
    </xf>
    <xf numFmtId="169" fontId="13" fillId="0" borderId="0" xfId="2" applyNumberFormat="1" applyFont="1" applyFill="1" applyBorder="1" applyAlignment="1">
      <alignment horizontal="center"/>
    </xf>
    <xf numFmtId="182" fontId="14" fillId="0" borderId="0" xfId="2" applyNumberFormat="1" applyFont="1" applyFill="1" applyBorder="1" applyAlignment="1">
      <alignment horizontal="center"/>
    </xf>
    <xf numFmtId="9" fontId="14" fillId="0" borderId="0" xfId="1" applyFont="1" applyFill="1" applyBorder="1" applyAlignment="1">
      <alignment horizontal="center"/>
    </xf>
    <xf numFmtId="187" fontId="14" fillId="0" borderId="0" xfId="2" applyNumberFormat="1" applyFont="1" applyFill="1" applyBorder="1" applyAlignment="1">
      <alignment horizontal="center"/>
    </xf>
    <xf numFmtId="0" fontId="5" fillId="0" borderId="0" xfId="2" applyFont="1" applyBorder="1"/>
    <xf numFmtId="176" fontId="13" fillId="0" borderId="0" xfId="2" applyNumberFormat="1" applyFont="1" applyFill="1" applyBorder="1" applyAlignment="1">
      <alignment horizontal="center"/>
    </xf>
    <xf numFmtId="0" fontId="2" fillId="0" borderId="0" xfId="2" applyFont="1" applyFill="1"/>
    <xf numFmtId="189" fontId="13" fillId="11" borderId="27" xfId="2" applyNumberFormat="1" applyFont="1" applyFill="1" applyBorder="1" applyAlignment="1">
      <alignment horizontal="center"/>
    </xf>
    <xf numFmtId="184" fontId="13" fillId="0" borderId="0" xfId="2" applyNumberFormat="1" applyFont="1" applyFill="1" applyBorder="1" applyAlignment="1">
      <alignment horizontal="center"/>
    </xf>
    <xf numFmtId="170" fontId="7" fillId="0" borderId="0" xfId="2" applyNumberFormat="1" applyFont="1" applyFill="1" applyAlignment="1">
      <alignment horizontal="center"/>
    </xf>
    <xf numFmtId="168" fontId="14" fillId="0" borderId="0" xfId="1" applyNumberFormat="1" applyFont="1" applyFill="1" applyBorder="1" applyAlignment="1">
      <alignment horizontal="center"/>
    </xf>
    <xf numFmtId="185" fontId="14" fillId="0" borderId="0" xfId="2" applyNumberFormat="1" applyFont="1" applyFill="1" applyBorder="1" applyAlignment="1">
      <alignment horizontal="center"/>
    </xf>
    <xf numFmtId="169" fontId="14" fillId="11" borderId="28" xfId="2" applyNumberFormat="1" applyFont="1" applyFill="1" applyBorder="1" applyAlignment="1">
      <alignment horizontal="center"/>
    </xf>
    <xf numFmtId="0" fontId="5" fillId="0" borderId="0" xfId="2" applyFont="1" applyBorder="1" applyAlignment="1">
      <alignment horizontal="left" vertical="center"/>
    </xf>
    <xf numFmtId="0" fontId="2" fillId="0" borderId="28" xfId="2" applyFont="1" applyBorder="1" applyAlignment="1">
      <alignment horizontal="left" indent="2"/>
    </xf>
    <xf numFmtId="168" fontId="14" fillId="11" borderId="14" xfId="1" applyNumberFormat="1" applyFont="1" applyFill="1" applyBorder="1" applyAlignment="1">
      <alignment horizontal="center"/>
    </xf>
    <xf numFmtId="0" fontId="37" fillId="0" borderId="0" xfId="0" applyFont="1"/>
    <xf numFmtId="170" fontId="14" fillId="0" borderId="0" xfId="2" applyNumberFormat="1" applyFont="1" applyFill="1" applyBorder="1" applyAlignment="1">
      <alignment horizontal="center" vertical="center"/>
    </xf>
    <xf numFmtId="0" fontId="2" fillId="0" borderId="0" xfId="2" applyFont="1" applyBorder="1" applyAlignment="1">
      <alignment horizontal="left" vertical="center"/>
    </xf>
    <xf numFmtId="0" fontId="31" fillId="0" borderId="0" xfId="13" applyFont="1" applyBorder="1" applyAlignment="1">
      <alignment horizontal="left"/>
    </xf>
    <xf numFmtId="0" fontId="32" fillId="0" borderId="0" xfId="13" applyFont="1" applyBorder="1" applyAlignment="1">
      <alignment horizontal="left"/>
    </xf>
    <xf numFmtId="168" fontId="14" fillId="0" borderId="14" xfId="1" applyNumberFormat="1" applyFont="1" applyFill="1" applyBorder="1" applyAlignment="1">
      <alignment horizontal="center"/>
    </xf>
    <xf numFmtId="0" fontId="2" fillId="0" borderId="28" xfId="2" applyFont="1" applyBorder="1" applyAlignment="1">
      <alignment horizontal="left" vertical="center" indent="1"/>
    </xf>
    <xf numFmtId="0" fontId="2" fillId="0" borderId="29" xfId="2" applyFont="1" applyBorder="1" applyAlignment="1">
      <alignment horizontal="left" vertical="center" indent="1"/>
    </xf>
    <xf numFmtId="9" fontId="14" fillId="0" borderId="0" xfId="1" applyNumberFormat="1" applyFont="1" applyFill="1" applyBorder="1" applyAlignment="1">
      <alignment horizontal="center"/>
    </xf>
    <xf numFmtId="185" fontId="14" fillId="0" borderId="14" xfId="2" applyNumberFormat="1" applyFont="1" applyFill="1" applyBorder="1" applyAlignment="1">
      <alignment horizontal="center"/>
    </xf>
    <xf numFmtId="167" fontId="14" fillId="0" borderId="28" xfId="2" applyNumberFormat="1" applyFont="1" applyFill="1" applyBorder="1" applyAlignment="1">
      <alignment horizontal="center"/>
    </xf>
    <xf numFmtId="185" fontId="14" fillId="11" borderId="14" xfId="2" applyNumberFormat="1" applyFont="1" applyFill="1" applyBorder="1" applyAlignment="1">
      <alignment horizontal="center"/>
    </xf>
    <xf numFmtId="169" fontId="14" fillId="11" borderId="13" xfId="2" applyNumberFormat="1" applyFont="1" applyFill="1" applyBorder="1" applyAlignment="1">
      <alignment horizontal="center"/>
    </xf>
    <xf numFmtId="0" fontId="2" fillId="0" borderId="13" xfId="2" applyBorder="1"/>
    <xf numFmtId="190" fontId="14" fillId="11" borderId="30" xfId="0" applyNumberFormat="1" applyFont="1" applyFill="1" applyBorder="1" applyAlignment="1">
      <alignment horizontal="center"/>
    </xf>
    <xf numFmtId="192" fontId="14" fillId="11" borderId="13" xfId="2" applyNumberFormat="1" applyFont="1" applyFill="1" applyBorder="1" applyAlignment="1">
      <alignment horizontal="center"/>
    </xf>
    <xf numFmtId="191" fontId="38" fillId="0" borderId="14" xfId="2" applyNumberFormat="1" applyFont="1" applyFill="1" applyBorder="1" applyAlignment="1">
      <alignment horizontal="center" vertical="center"/>
    </xf>
    <xf numFmtId="189" fontId="13" fillId="0" borderId="27" xfId="2" applyNumberFormat="1" applyFont="1" applyFill="1" applyBorder="1" applyAlignment="1">
      <alignment horizontal="center"/>
    </xf>
    <xf numFmtId="169" fontId="14" fillId="11" borderId="14" xfId="2" applyNumberFormat="1" applyFont="1" applyFill="1" applyBorder="1" applyAlignment="1">
      <alignment horizontal="center"/>
    </xf>
    <xf numFmtId="0" fontId="7" fillId="0" borderId="0" xfId="0" applyFont="1"/>
    <xf numFmtId="0" fontId="7" fillId="0" borderId="0" xfId="0" applyFont="1" applyBorder="1"/>
    <xf numFmtId="0" fontId="7" fillId="0" borderId="0" xfId="0" applyFont="1" applyBorder="1" applyAlignment="1">
      <alignment horizontal="center"/>
    </xf>
    <xf numFmtId="0" fontId="7" fillId="0" borderId="0" xfId="0" applyFont="1" applyBorder="1" applyAlignment="1">
      <alignment vertical="center"/>
    </xf>
    <xf numFmtId="0" fontId="7" fillId="0" borderId="0" xfId="0" applyFont="1" applyBorder="1" applyAlignment="1">
      <alignment horizontal="center" vertical="center"/>
    </xf>
    <xf numFmtId="168" fontId="7" fillId="0" borderId="0" xfId="1" applyNumberFormat="1" applyFont="1" applyBorder="1" applyAlignment="1">
      <alignment horizontal="center"/>
    </xf>
    <xf numFmtId="183" fontId="7" fillId="0" borderId="0" xfId="1" applyNumberFormat="1" applyFont="1" applyBorder="1"/>
    <xf numFmtId="180" fontId="7" fillId="0" borderId="0" xfId="0" applyNumberFormat="1" applyFont="1" applyBorder="1"/>
    <xf numFmtId="186" fontId="39" fillId="0" borderId="0" xfId="0" applyNumberFormat="1" applyFont="1" applyBorder="1"/>
    <xf numFmtId="0" fontId="6" fillId="5" borderId="15" xfId="0" applyFont="1" applyFill="1" applyBorder="1" applyAlignment="1">
      <alignment horizontal="left" vertical="center"/>
    </xf>
    <xf numFmtId="0" fontId="6" fillId="5" borderId="29" xfId="0" applyFont="1" applyFill="1" applyBorder="1" applyAlignment="1">
      <alignment horizontal="left" vertical="center"/>
    </xf>
    <xf numFmtId="0" fontId="6" fillId="6" borderId="15" xfId="0" applyFont="1" applyFill="1" applyBorder="1" applyAlignment="1">
      <alignment horizontal="left" vertical="center"/>
    </xf>
    <xf numFmtId="0" fontId="6" fillId="6" borderId="29" xfId="0" applyFont="1" applyFill="1" applyBorder="1" applyAlignment="1">
      <alignment horizontal="left" vertical="center"/>
    </xf>
    <xf numFmtId="169" fontId="14" fillId="0" borderId="15" xfId="2" applyNumberFormat="1" applyFont="1" applyFill="1" applyBorder="1" applyAlignment="1">
      <alignment horizontal="center" vertical="center"/>
    </xf>
    <xf numFmtId="169" fontId="14" fillId="0" borderId="30" xfId="2" applyNumberFormat="1" applyFont="1" applyFill="1" applyBorder="1" applyAlignment="1">
      <alignment horizontal="center" vertical="center"/>
    </xf>
    <xf numFmtId="169" fontId="14" fillId="0" borderId="29" xfId="2" applyNumberFormat="1" applyFont="1" applyFill="1" applyBorder="1" applyAlignment="1">
      <alignment horizontal="center" vertical="center"/>
    </xf>
    <xf numFmtId="0" fontId="2" fillId="3" borderId="26" xfId="2" applyFont="1" applyFill="1" applyBorder="1" applyAlignment="1">
      <alignment horizontal="center"/>
    </xf>
    <xf numFmtId="0" fontId="2" fillId="3" borderId="32" xfId="2" applyFont="1" applyFill="1" applyBorder="1" applyAlignment="1">
      <alignment horizontal="center"/>
    </xf>
    <xf numFmtId="0" fontId="2" fillId="3" borderId="25" xfId="2" applyFont="1" applyFill="1" applyBorder="1" applyAlignment="1">
      <alignment horizontal="center"/>
    </xf>
    <xf numFmtId="169" fontId="14" fillId="11" borderId="20" xfId="2" applyNumberFormat="1" applyFont="1" applyFill="1" applyBorder="1" applyAlignment="1">
      <alignment horizontal="center"/>
    </xf>
    <xf numFmtId="169" fontId="14" fillId="11" borderId="21" xfId="2" applyNumberFormat="1" applyFont="1" applyFill="1" applyBorder="1" applyAlignment="1">
      <alignment horizontal="center"/>
    </xf>
    <xf numFmtId="169" fontId="14" fillId="11" borderId="44" xfId="2" applyNumberFormat="1" applyFont="1" applyFill="1" applyBorder="1" applyAlignment="1">
      <alignment horizontal="center"/>
    </xf>
    <xf numFmtId="169" fontId="6" fillId="7" borderId="22" xfId="2" applyNumberFormat="1" applyFont="1" applyFill="1" applyBorder="1" applyAlignment="1">
      <alignment horizontal="center"/>
    </xf>
    <xf numFmtId="169" fontId="6" fillId="7" borderId="23" xfId="2" applyNumberFormat="1" applyFont="1" applyFill="1" applyBorder="1" applyAlignment="1">
      <alignment horizontal="center"/>
    </xf>
    <xf numFmtId="169" fontId="6" fillId="7" borderId="24" xfId="2" applyNumberFormat="1" applyFont="1" applyFill="1" applyBorder="1" applyAlignment="1">
      <alignment horizontal="center"/>
    </xf>
    <xf numFmtId="0" fontId="2" fillId="0" borderId="28" xfId="2" applyFont="1" applyBorder="1" applyAlignment="1">
      <alignment horizontal="left" vertical="center"/>
    </xf>
    <xf numFmtId="0" fontId="2" fillId="0" borderId="29" xfId="2" applyFont="1" applyBorder="1" applyAlignment="1">
      <alignment horizontal="left" vertical="center"/>
    </xf>
    <xf numFmtId="0" fontId="24" fillId="0" borderId="39" xfId="2" applyFont="1" applyBorder="1" applyAlignment="1">
      <alignment horizontal="center"/>
    </xf>
    <xf numFmtId="0" fontId="24" fillId="0" borderId="40" xfId="2" applyFont="1" applyBorder="1" applyAlignment="1">
      <alignment horizontal="center"/>
    </xf>
    <xf numFmtId="0" fontId="24" fillId="0" borderId="41" xfId="2" applyFont="1" applyBorder="1" applyAlignment="1">
      <alignment horizontal="center"/>
    </xf>
    <xf numFmtId="169" fontId="6" fillId="7" borderId="4" xfId="2" applyNumberFormat="1" applyFont="1" applyFill="1" applyBorder="1" applyAlignment="1">
      <alignment horizontal="center"/>
    </xf>
    <xf numFmtId="169" fontId="6" fillId="7" borderId="5" xfId="2" applyNumberFormat="1" applyFont="1" applyFill="1" applyBorder="1" applyAlignment="1">
      <alignment horizontal="center"/>
    </xf>
    <xf numFmtId="169" fontId="6" fillId="7" borderId="6" xfId="2" applyNumberFormat="1" applyFont="1" applyFill="1" applyBorder="1" applyAlignment="1">
      <alignment horizontal="center"/>
    </xf>
    <xf numFmtId="179" fontId="6" fillId="7" borderId="7" xfId="2" applyNumberFormat="1" applyFont="1" applyFill="1" applyBorder="1" applyAlignment="1">
      <alignment horizontal="center"/>
    </xf>
    <xf numFmtId="179" fontId="6" fillId="7" borderId="8" xfId="2" applyNumberFormat="1" applyFont="1" applyFill="1" applyBorder="1" applyAlignment="1">
      <alignment horizontal="center"/>
    </xf>
    <xf numFmtId="179" fontId="6" fillId="7" borderId="9" xfId="2" applyNumberFormat="1" applyFont="1" applyFill="1" applyBorder="1" applyAlignment="1">
      <alignment horizontal="center"/>
    </xf>
    <xf numFmtId="0" fontId="39" fillId="0" borderId="0" xfId="0" applyFont="1" applyBorder="1" applyAlignment="1">
      <alignment horizontal="left"/>
    </xf>
    <xf numFmtId="0" fontId="24" fillId="0" borderId="1" xfId="2" applyFont="1" applyBorder="1" applyAlignment="1">
      <alignment horizontal="center"/>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28" fillId="0" borderId="35" xfId="0" applyFont="1" applyBorder="1" applyAlignment="1">
      <alignment horizontal="left" vertical="center" wrapText="1"/>
    </xf>
    <xf numFmtId="0" fontId="28" fillId="0" borderId="31" xfId="0" applyFont="1" applyBorder="1" applyAlignment="1">
      <alignment horizontal="left" vertical="center" wrapText="1"/>
    </xf>
    <xf numFmtId="0" fontId="28" fillId="0" borderId="0" xfId="0" applyFont="1" applyBorder="1" applyAlignment="1">
      <alignment horizontal="left" vertical="center" wrapText="1"/>
    </xf>
    <xf numFmtId="0" fontId="28" fillId="0" borderId="43" xfId="0" applyFont="1" applyBorder="1" applyAlignment="1">
      <alignment horizontal="left" vertical="center" wrapText="1"/>
    </xf>
    <xf numFmtId="0" fontId="28" fillId="0" borderId="36" xfId="0" applyFont="1" applyBorder="1" applyAlignment="1">
      <alignment horizontal="left" vertical="center" wrapText="1"/>
    </xf>
    <xf numFmtId="0" fontId="28" fillId="0" borderId="37" xfId="0" applyFont="1" applyBorder="1" applyAlignment="1">
      <alignment horizontal="left" vertical="center" wrapText="1"/>
    </xf>
    <xf numFmtId="0" fontId="28" fillId="0" borderId="38" xfId="0" applyFont="1" applyBorder="1" applyAlignment="1">
      <alignment horizontal="left" vertical="center" wrapText="1"/>
    </xf>
    <xf numFmtId="169" fontId="14" fillId="0" borderId="15" xfId="2" applyNumberFormat="1" applyFont="1" applyFill="1" applyBorder="1" applyAlignment="1">
      <alignment horizontal="left" vertical="center"/>
    </xf>
    <xf numFmtId="169" fontId="14" fillId="0" borderId="30" xfId="2" applyNumberFormat="1" applyFont="1" applyFill="1" applyBorder="1" applyAlignment="1">
      <alignment horizontal="left" vertical="center"/>
    </xf>
    <xf numFmtId="169" fontId="14" fillId="0" borderId="29" xfId="2" applyNumberFormat="1" applyFont="1" applyFill="1" applyBorder="1" applyAlignment="1">
      <alignment horizontal="left" vertical="center"/>
    </xf>
    <xf numFmtId="0" fontId="7" fillId="0" borderId="0" xfId="0" applyFont="1" applyBorder="1" applyAlignment="1">
      <alignment horizontal="center"/>
    </xf>
    <xf numFmtId="0" fontId="2" fillId="3" borderId="26" xfId="2" applyFont="1" applyFill="1" applyBorder="1" applyAlignment="1">
      <alignment horizontal="center" vertical="center"/>
    </xf>
    <xf numFmtId="0" fontId="2" fillId="3" borderId="25" xfId="2" applyFont="1" applyFill="1" applyBorder="1" applyAlignment="1">
      <alignment horizontal="center" vertical="center"/>
    </xf>
    <xf numFmtId="0" fontId="18" fillId="4" borderId="22" xfId="2" applyFont="1" applyFill="1" applyBorder="1" applyAlignment="1">
      <alignment horizontal="center" vertical="center"/>
    </xf>
    <xf numFmtId="0" fontId="18" fillId="4" borderId="23" xfId="2" applyFont="1" applyFill="1" applyBorder="1" applyAlignment="1">
      <alignment horizontal="center" vertical="center"/>
    </xf>
    <xf numFmtId="0" fontId="18" fillId="4" borderId="24" xfId="2" applyFont="1" applyFill="1" applyBorder="1" applyAlignment="1">
      <alignment horizontal="center" vertical="center"/>
    </xf>
    <xf numFmtId="0" fontId="26" fillId="10" borderId="2" xfId="0" applyFont="1" applyFill="1" applyBorder="1" applyAlignment="1">
      <alignment horizontal="center" vertical="center"/>
    </xf>
    <xf numFmtId="0" fontId="26" fillId="10" borderId="16" xfId="0" applyFont="1" applyFill="1" applyBorder="1" applyAlignment="1">
      <alignment horizontal="center" vertical="center"/>
    </xf>
    <xf numFmtId="0" fontId="26" fillId="10" borderId="17" xfId="0" applyFont="1" applyFill="1" applyBorder="1" applyAlignment="1">
      <alignment horizontal="center" vertical="center"/>
    </xf>
    <xf numFmtId="0" fontId="26" fillId="10" borderId="3" xfId="0" applyFont="1" applyFill="1" applyBorder="1" applyAlignment="1">
      <alignment horizontal="center" vertical="center"/>
    </xf>
    <xf numFmtId="0" fontId="26" fillId="10" borderId="18" xfId="0" applyFont="1" applyFill="1" applyBorder="1" applyAlignment="1">
      <alignment horizontal="center" vertical="center"/>
    </xf>
    <xf numFmtId="0" fontId="26" fillId="10" borderId="19" xfId="0" applyFont="1" applyFill="1" applyBorder="1" applyAlignment="1">
      <alignment horizontal="center" vertical="center"/>
    </xf>
    <xf numFmtId="172" fontId="2" fillId="3" borderId="26" xfId="2" applyNumberFormat="1" applyFont="1" applyFill="1" applyBorder="1" applyAlignment="1">
      <alignment horizontal="center"/>
    </xf>
    <xf numFmtId="172" fontId="2" fillId="3" borderId="32" xfId="2" applyNumberFormat="1" applyFont="1" applyFill="1" applyBorder="1" applyAlignment="1">
      <alignment horizontal="center"/>
    </xf>
    <xf numFmtId="172" fontId="2" fillId="3" borderId="25" xfId="2" applyNumberFormat="1" applyFont="1" applyFill="1" applyBorder="1" applyAlignment="1">
      <alignment horizontal="center"/>
    </xf>
    <xf numFmtId="170" fontId="14" fillId="0" borderId="28" xfId="2" applyNumberFormat="1" applyFont="1" applyFill="1" applyBorder="1" applyAlignment="1">
      <alignment horizontal="center" vertical="center"/>
    </xf>
    <xf numFmtId="170" fontId="14" fillId="0" borderId="29" xfId="2" applyNumberFormat="1" applyFont="1" applyFill="1" applyBorder="1" applyAlignment="1">
      <alignment horizontal="center" vertical="center"/>
    </xf>
    <xf numFmtId="0" fontId="29" fillId="0" borderId="33" xfId="0" applyFont="1" applyBorder="1" applyAlignment="1">
      <alignment horizontal="left" vertical="center" wrapText="1"/>
    </xf>
    <xf numFmtId="0" fontId="29" fillId="0" borderId="34" xfId="0" applyFont="1" applyBorder="1" applyAlignment="1">
      <alignment horizontal="left" vertical="center" wrapText="1"/>
    </xf>
    <xf numFmtId="0" fontId="29" fillId="0" borderId="35" xfId="0" applyFont="1" applyBorder="1" applyAlignment="1">
      <alignment horizontal="left" vertical="center" wrapText="1"/>
    </xf>
    <xf numFmtId="0" fontId="29" fillId="0" borderId="36" xfId="0" applyFont="1" applyBorder="1" applyAlignment="1">
      <alignment horizontal="left" vertical="center" wrapText="1"/>
    </xf>
    <xf numFmtId="0" fontId="29" fillId="0" borderId="37" xfId="0" applyFont="1" applyBorder="1" applyAlignment="1">
      <alignment horizontal="left" vertical="center" wrapText="1"/>
    </xf>
    <xf numFmtId="0" fontId="29" fillId="0" borderId="38" xfId="0" applyFont="1" applyBorder="1" applyAlignment="1">
      <alignment horizontal="left" vertical="center" wrapText="1"/>
    </xf>
    <xf numFmtId="172" fontId="13" fillId="11" borderId="22" xfId="2" applyNumberFormat="1" applyFont="1" applyFill="1" applyBorder="1" applyAlignment="1">
      <alignment horizontal="center"/>
    </xf>
    <xf numFmtId="172" fontId="13" fillId="11" borderId="23" xfId="2" applyNumberFormat="1" applyFont="1" applyFill="1" applyBorder="1" applyAlignment="1">
      <alignment horizontal="center"/>
    </xf>
    <xf numFmtId="172" fontId="13" fillId="11" borderId="24" xfId="2" applyNumberFormat="1" applyFont="1" applyFill="1" applyBorder="1" applyAlignment="1">
      <alignment horizontal="center"/>
    </xf>
    <xf numFmtId="165" fontId="13" fillId="0" borderId="4" xfId="2" applyNumberFormat="1" applyFont="1" applyFill="1" applyBorder="1" applyAlignment="1">
      <alignment horizontal="center"/>
    </xf>
    <xf numFmtId="165" fontId="13" fillId="0" borderId="5" xfId="2" applyNumberFormat="1" applyFont="1" applyFill="1" applyBorder="1" applyAlignment="1">
      <alignment horizontal="center"/>
    </xf>
    <xf numFmtId="165" fontId="13" fillId="0" borderId="6" xfId="2" applyNumberFormat="1" applyFont="1" applyFill="1" applyBorder="1" applyAlignment="1">
      <alignment horizontal="center"/>
    </xf>
    <xf numFmtId="177" fontId="14" fillId="11" borderId="7" xfId="2" applyNumberFormat="1" applyFont="1" applyFill="1" applyBorder="1" applyAlignment="1">
      <alignment horizontal="center"/>
    </xf>
    <xf numFmtId="177" fontId="14" fillId="11" borderId="8" xfId="2" applyNumberFormat="1" applyFont="1" applyFill="1" applyBorder="1" applyAlignment="1">
      <alignment horizontal="center"/>
    </xf>
    <xf numFmtId="177" fontId="14" fillId="11" borderId="9" xfId="2" applyNumberFormat="1" applyFont="1" applyFill="1" applyBorder="1" applyAlignment="1">
      <alignment horizontal="center"/>
    </xf>
    <xf numFmtId="165" fontId="28" fillId="0" borderId="33" xfId="0" applyNumberFormat="1" applyFont="1" applyBorder="1" applyAlignment="1">
      <alignment horizontal="left" vertical="center" wrapText="1"/>
    </xf>
    <xf numFmtId="165" fontId="28" fillId="0" borderId="34" xfId="0" applyNumberFormat="1" applyFont="1" applyBorder="1" applyAlignment="1">
      <alignment horizontal="left" vertical="center" wrapText="1"/>
    </xf>
    <xf numFmtId="165" fontId="28" fillId="0" borderId="35" xfId="0" applyNumberFormat="1" applyFont="1" applyBorder="1" applyAlignment="1">
      <alignment horizontal="left" vertical="center" wrapText="1"/>
    </xf>
    <xf numFmtId="165" fontId="28" fillId="0" borderId="36" xfId="0" applyNumberFormat="1" applyFont="1" applyBorder="1" applyAlignment="1">
      <alignment horizontal="left" vertical="center" wrapText="1"/>
    </xf>
    <xf numFmtId="165" fontId="28" fillId="0" borderId="37" xfId="0" applyNumberFormat="1" applyFont="1" applyBorder="1" applyAlignment="1">
      <alignment horizontal="left" vertical="center" wrapText="1"/>
    </xf>
    <xf numFmtId="165" fontId="28" fillId="0" borderId="38" xfId="0" applyNumberFormat="1" applyFont="1" applyBorder="1" applyAlignment="1">
      <alignment horizontal="left" vertical="center" wrapText="1"/>
    </xf>
    <xf numFmtId="0" fontId="24" fillId="0" borderId="1" xfId="0" applyFont="1" applyBorder="1" applyAlignment="1">
      <alignment horizontal="left"/>
    </xf>
    <xf numFmtId="0" fontId="32" fillId="0" borderId="39" xfId="13" applyFont="1" applyBorder="1" applyAlignment="1">
      <alignment horizontal="left"/>
    </xf>
    <xf numFmtId="0" fontId="32" fillId="0" borderId="40" xfId="13" applyFont="1" applyBorder="1" applyAlignment="1">
      <alignment horizontal="left"/>
    </xf>
    <xf numFmtId="0" fontId="32" fillId="0" borderId="41" xfId="13" applyFont="1" applyBorder="1" applyAlignment="1">
      <alignment horizontal="left"/>
    </xf>
    <xf numFmtId="0" fontId="31" fillId="0" borderId="39" xfId="13" applyFont="1" applyBorder="1" applyAlignment="1">
      <alignment horizontal="left"/>
    </xf>
    <xf numFmtId="0" fontId="31" fillId="0" borderId="40" xfId="13" applyFont="1" applyBorder="1" applyAlignment="1">
      <alignment horizontal="left"/>
    </xf>
    <xf numFmtId="0" fontId="31" fillId="0" borderId="41" xfId="13" applyFont="1" applyBorder="1" applyAlignment="1">
      <alignment horizontal="left"/>
    </xf>
    <xf numFmtId="0" fontId="31" fillId="0" borderId="31" xfId="13" applyFont="1" applyBorder="1" applyAlignment="1">
      <alignment horizontal="left" wrapText="1"/>
    </xf>
    <xf numFmtId="0" fontId="31" fillId="0" borderId="0" xfId="13" applyFont="1" applyBorder="1" applyAlignment="1">
      <alignment horizontal="left" wrapText="1"/>
    </xf>
    <xf numFmtId="0" fontId="31" fillId="0" borderId="43" xfId="13" applyFont="1" applyBorder="1" applyAlignment="1">
      <alignment horizontal="left" wrapText="1"/>
    </xf>
    <xf numFmtId="0" fontId="32" fillId="0" borderId="39" xfId="13" applyFont="1" applyBorder="1" applyAlignment="1">
      <alignment horizontal="left" wrapText="1"/>
    </xf>
    <xf numFmtId="0" fontId="32" fillId="0" borderId="40" xfId="13" applyFont="1" applyBorder="1" applyAlignment="1">
      <alignment horizontal="left" wrapText="1"/>
    </xf>
    <xf numFmtId="0" fontId="32" fillId="0" borderId="41" xfId="13" applyFont="1" applyBorder="1" applyAlignment="1">
      <alignment horizontal="left" wrapText="1"/>
    </xf>
    <xf numFmtId="0" fontId="2" fillId="0" borderId="28" xfId="2" applyBorder="1" applyAlignment="1">
      <alignment horizontal="left" vertical="center" wrapText="1"/>
    </xf>
    <xf numFmtId="0" fontId="2" fillId="0" borderId="42" xfId="2" applyBorder="1" applyAlignment="1">
      <alignment horizontal="left" vertical="center" wrapText="1"/>
    </xf>
    <xf numFmtId="0" fontId="5" fillId="0" borderId="15" xfId="2" applyFont="1" applyBorder="1" applyAlignment="1">
      <alignment horizontal="left" vertical="center" wrapText="1"/>
    </xf>
    <xf numFmtId="0" fontId="5" fillId="0" borderId="42" xfId="2" applyFont="1" applyBorder="1" applyAlignment="1">
      <alignment horizontal="left" vertical="center"/>
    </xf>
    <xf numFmtId="170" fontId="14" fillId="11" borderId="20" xfId="0" applyNumberFormat="1" applyFont="1" applyFill="1" applyBorder="1" applyAlignment="1">
      <alignment horizontal="center"/>
    </xf>
    <xf numFmtId="170" fontId="14" fillId="11" borderId="21" xfId="0" applyNumberFormat="1" applyFont="1" applyFill="1" applyBorder="1" applyAlignment="1">
      <alignment horizontal="center"/>
    </xf>
    <xf numFmtId="170" fontId="14" fillId="11" borderId="44" xfId="0" applyNumberFormat="1" applyFont="1" applyFill="1" applyBorder="1" applyAlignment="1">
      <alignment horizontal="center"/>
    </xf>
    <xf numFmtId="167" fontId="13" fillId="0" borderId="22" xfId="2" applyNumberFormat="1" applyFont="1" applyFill="1" applyBorder="1" applyAlignment="1">
      <alignment horizontal="center"/>
    </xf>
    <xf numFmtId="167" fontId="13" fillId="0" borderId="23" xfId="2" applyNumberFormat="1" applyFont="1" applyFill="1" applyBorder="1" applyAlignment="1">
      <alignment horizontal="center"/>
    </xf>
    <xf numFmtId="167" fontId="13" fillId="0" borderId="24" xfId="2" applyNumberFormat="1" applyFont="1" applyFill="1" applyBorder="1" applyAlignment="1">
      <alignment horizontal="center"/>
    </xf>
    <xf numFmtId="4" fontId="6" fillId="7" borderId="10" xfId="0" applyNumberFormat="1" applyFont="1" applyFill="1" applyBorder="1" applyAlignment="1">
      <alignment horizontal="left" vertical="center"/>
    </xf>
    <xf numFmtId="4" fontId="6" fillId="7" borderId="7" xfId="0" applyNumberFormat="1" applyFont="1" applyFill="1" applyBorder="1" applyAlignment="1">
      <alignment horizontal="left"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1" xfId="0" applyBorder="1" applyAlignment="1">
      <alignment horizontal="center" vertical="center" wrapText="1"/>
    </xf>
    <xf numFmtId="0" fontId="0" fillId="0" borderId="0" xfId="0" applyBorder="1" applyAlignment="1">
      <alignment horizontal="center" vertical="center" wrapText="1"/>
    </xf>
    <xf numFmtId="0" fontId="0" fillId="0" borderId="43"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cellXfs>
  <cellStyles count="14">
    <cellStyle name="Heading" xfId="3" xr:uid="{00000000-0005-0000-0000-000000000000}"/>
    <cellStyle name="Heading 2" xfId="8" xr:uid="{00000000-0005-0000-0000-000001000000}"/>
    <cellStyle name="Heading1" xfId="4" xr:uid="{00000000-0005-0000-0000-000002000000}"/>
    <cellStyle name="Heading1 2" xfId="9" xr:uid="{00000000-0005-0000-0000-000003000000}"/>
    <cellStyle name="Link" xfId="13" builtinId="8"/>
    <cellStyle name="Prozent" xfId="1" builtinId="5"/>
    <cellStyle name="Prozent 2" xfId="12" xr:uid="{00000000-0005-0000-0000-000005000000}"/>
    <cellStyle name="Result" xfId="5" xr:uid="{00000000-0005-0000-0000-000006000000}"/>
    <cellStyle name="Result 2" xfId="10" xr:uid="{00000000-0005-0000-0000-000007000000}"/>
    <cellStyle name="Result2" xfId="6" xr:uid="{00000000-0005-0000-0000-000008000000}"/>
    <cellStyle name="Result2 2" xfId="11" xr:uid="{00000000-0005-0000-0000-000009000000}"/>
    <cellStyle name="Standard" xfId="0" builtinId="0"/>
    <cellStyle name="Standard 2" xfId="2" xr:uid="{00000000-0005-0000-0000-00000B000000}"/>
    <cellStyle name="Standard 3" xfId="7" xr:uid="{00000000-0005-0000-0000-00000C000000}"/>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ecson.de/pheizoel.html" TargetMode="External"/><Relationship Id="rId1" Type="http://schemas.openxmlformats.org/officeDocument/2006/relationships/hyperlink" Target="https://www.ihk.de/co2-preisrechne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9E4EF-016C-404F-9CF4-013ED46CC76F}">
  <dimension ref="B1:AG124"/>
  <sheetViews>
    <sheetView tabSelected="1" zoomScaleNormal="100" workbookViewId="0">
      <pane ySplit="7" topLeftCell="A8" activePane="bottomLeft" state="frozen"/>
      <selection pane="bottomLeft" activeCell="D76" sqref="D76"/>
    </sheetView>
  </sheetViews>
  <sheetFormatPr baseColWidth="10" defaultRowHeight="14.25" x14ac:dyDescent="0.2"/>
  <cols>
    <col min="1" max="1" width="5.7109375" style="7" customWidth="1"/>
    <col min="2" max="2" width="48.28515625" style="7" bestFit="1" customWidth="1"/>
    <col min="3" max="3" width="1.28515625" style="7" customWidth="1"/>
    <col min="4" max="4" width="15.7109375" style="7" customWidth="1"/>
    <col min="5" max="5" width="1.28515625" style="7" customWidth="1"/>
    <col min="6" max="6" width="15.7109375" style="7" customWidth="1"/>
    <col min="7" max="7" width="3.28515625" style="7" customWidth="1"/>
    <col min="8" max="8" width="0.7109375" style="7" customWidth="1"/>
    <col min="9" max="9" width="3.28515625" style="7" customWidth="1"/>
    <col min="10" max="10" width="15.7109375" style="7" customWidth="1"/>
    <col min="11" max="11" width="3.28515625" style="7" customWidth="1"/>
    <col min="12" max="12" width="0.7109375" style="7" customWidth="1"/>
    <col min="13" max="13" width="3.28515625" style="7" customWidth="1"/>
    <col min="14" max="14" width="15.7109375" style="7" customWidth="1"/>
    <col min="15" max="15" width="1.42578125" style="7" customWidth="1"/>
    <col min="16" max="16" width="55.85546875" style="7" bestFit="1" customWidth="1"/>
    <col min="17" max="17" width="3.28515625" style="7" customWidth="1"/>
    <col min="18" max="18" width="11.42578125" style="7"/>
    <col min="19" max="19" width="12.85546875" style="7" customWidth="1"/>
    <col min="20" max="28" width="15.7109375" style="7" customWidth="1"/>
    <col min="29" max="29" width="11.42578125" style="7"/>
    <col min="30" max="30" width="19.5703125" style="7" bestFit="1" customWidth="1"/>
    <col min="31" max="31" width="13.7109375" style="7" bestFit="1" customWidth="1"/>
    <col min="32" max="16384" width="11.42578125" style="7"/>
  </cols>
  <sheetData>
    <row r="1" spans="2:32" ht="15" thickBot="1" x14ac:dyDescent="0.25"/>
    <row r="2" spans="2:32" ht="21" customHeight="1" x14ac:dyDescent="0.2">
      <c r="B2" s="295" t="s">
        <v>108</v>
      </c>
      <c r="C2" s="296"/>
      <c r="D2" s="296"/>
      <c r="E2" s="296"/>
      <c r="F2" s="296"/>
      <c r="G2" s="296"/>
      <c r="H2" s="296"/>
      <c r="I2" s="296"/>
      <c r="J2" s="296"/>
      <c r="K2" s="296"/>
      <c r="L2" s="296"/>
      <c r="M2" s="296"/>
      <c r="N2" s="296"/>
      <c r="O2" s="296"/>
      <c r="P2" s="297"/>
      <c r="Q2" s="63"/>
    </row>
    <row r="3" spans="2:32" ht="21" customHeight="1" thickBot="1" x14ac:dyDescent="0.25">
      <c r="B3" s="298"/>
      <c r="C3" s="299"/>
      <c r="D3" s="299"/>
      <c r="E3" s="299"/>
      <c r="F3" s="299"/>
      <c r="G3" s="299"/>
      <c r="H3" s="299"/>
      <c r="I3" s="299"/>
      <c r="J3" s="299"/>
      <c r="K3" s="299"/>
      <c r="L3" s="299"/>
      <c r="M3" s="299"/>
      <c r="N3" s="299"/>
      <c r="O3" s="299"/>
      <c r="P3" s="300"/>
      <c r="Q3" s="63"/>
    </row>
    <row r="4" spans="2:32" ht="15.75" customHeight="1" x14ac:dyDescent="0.2">
      <c r="B4" s="148" t="s">
        <v>23</v>
      </c>
      <c r="C4" s="75"/>
      <c r="D4" s="75"/>
      <c r="E4" s="75"/>
      <c r="F4" s="75"/>
      <c r="G4" s="75"/>
      <c r="H4" s="75"/>
      <c r="I4" s="75"/>
      <c r="J4" s="75"/>
      <c r="K4" s="75"/>
      <c r="L4" s="75"/>
      <c r="M4" s="75"/>
      <c r="N4" s="75"/>
      <c r="O4" s="75"/>
      <c r="P4" s="75"/>
      <c r="Q4" s="75"/>
    </row>
    <row r="5" spans="2:32" ht="15.75" customHeight="1" thickBot="1" x14ac:dyDescent="0.25">
      <c r="B5" s="74"/>
      <c r="C5" s="75"/>
      <c r="D5" s="75"/>
      <c r="E5" s="75"/>
      <c r="F5" s="75"/>
      <c r="G5" s="75"/>
      <c r="H5" s="75"/>
      <c r="I5" s="75"/>
      <c r="J5" s="75"/>
      <c r="K5" s="75"/>
      <c r="L5" s="75"/>
      <c r="M5" s="75"/>
      <c r="N5" s="75"/>
      <c r="O5" s="75"/>
      <c r="P5" s="75"/>
      <c r="Q5" s="75"/>
      <c r="AB5" s="220"/>
      <c r="AC5" s="220"/>
      <c r="AD5" s="220"/>
      <c r="AE5" s="220"/>
      <c r="AF5" s="220"/>
    </row>
    <row r="6" spans="2:32" ht="33" customHeight="1" thickBot="1" x14ac:dyDescent="0.25">
      <c r="B6" s="128" t="s">
        <v>51</v>
      </c>
      <c r="C6" s="76"/>
      <c r="D6" s="105" t="s">
        <v>44</v>
      </c>
      <c r="E6" s="76"/>
      <c r="F6" s="105" t="s">
        <v>107</v>
      </c>
      <c r="G6" s="76"/>
      <c r="H6" s="290"/>
      <c r="I6" s="76"/>
      <c r="J6" s="105" t="s">
        <v>130</v>
      </c>
      <c r="K6" s="76"/>
      <c r="L6" s="290"/>
      <c r="M6" s="76"/>
      <c r="N6" s="292" t="s">
        <v>45</v>
      </c>
      <c r="O6" s="293"/>
      <c r="P6" s="294"/>
      <c r="Q6" s="75"/>
      <c r="AB6" s="239"/>
      <c r="AC6" s="239"/>
      <c r="AD6" s="239"/>
      <c r="AE6" s="239"/>
      <c r="AF6" s="239"/>
    </row>
    <row r="7" spans="2:32" ht="33.75" customHeight="1" thickBot="1" x14ac:dyDescent="0.25">
      <c r="B7" s="104" t="s">
        <v>46</v>
      </c>
      <c r="C7" s="76"/>
      <c r="D7" s="152" t="s">
        <v>47</v>
      </c>
      <c r="E7" s="76"/>
      <c r="F7" s="107" t="s">
        <v>109</v>
      </c>
      <c r="G7" s="76"/>
      <c r="H7" s="291"/>
      <c r="I7" s="76"/>
      <c r="J7" s="107" t="s">
        <v>109</v>
      </c>
      <c r="K7" s="76"/>
      <c r="L7" s="291"/>
      <c r="M7" s="76"/>
      <c r="N7" s="129"/>
      <c r="O7" s="129"/>
      <c r="P7" s="129"/>
      <c r="Q7" s="75"/>
      <c r="AB7" s="239"/>
      <c r="AC7" s="239"/>
      <c r="AD7" s="239"/>
      <c r="AE7" s="239"/>
      <c r="AF7" s="239"/>
    </row>
    <row r="8" spans="2:32" ht="15.75" customHeight="1" thickBot="1" x14ac:dyDescent="0.25">
      <c r="B8" s="106"/>
      <c r="C8" s="106"/>
      <c r="D8" s="106"/>
      <c r="E8" s="106"/>
      <c r="F8" s="106"/>
      <c r="G8" s="106"/>
      <c r="H8" s="106"/>
      <c r="I8" s="106"/>
      <c r="J8" s="106"/>
      <c r="K8" s="106"/>
      <c r="L8" s="106"/>
      <c r="M8" s="106"/>
      <c r="N8" s="106"/>
      <c r="O8" s="106"/>
      <c r="P8" s="106"/>
      <c r="Q8" s="75"/>
      <c r="AB8" s="239"/>
      <c r="AC8" s="239"/>
      <c r="AD8" s="239"/>
      <c r="AE8" s="239"/>
      <c r="AF8" s="239"/>
    </row>
    <row r="9" spans="2:32" ht="15.75" customHeight="1" thickBot="1" x14ac:dyDescent="0.25">
      <c r="B9" s="74"/>
      <c r="C9" s="75"/>
      <c r="D9" s="75"/>
      <c r="E9" s="75"/>
      <c r="F9" s="75"/>
      <c r="G9" s="75"/>
      <c r="H9" s="75"/>
      <c r="I9" s="75"/>
      <c r="J9" s="75"/>
      <c r="K9" s="75"/>
      <c r="L9" s="75"/>
      <c r="M9" s="75"/>
      <c r="N9" s="75"/>
      <c r="O9" s="75"/>
      <c r="P9" s="75"/>
      <c r="Q9" s="75"/>
      <c r="AB9" s="239"/>
      <c r="AC9" s="240"/>
      <c r="AD9" s="241" t="s">
        <v>48</v>
      </c>
      <c r="AE9" s="240"/>
      <c r="AF9" s="239"/>
    </row>
    <row r="10" spans="2:32" ht="15.75" thickBot="1" x14ac:dyDescent="0.3">
      <c r="B10" s="30" t="s">
        <v>2</v>
      </c>
      <c r="C10" s="77"/>
      <c r="D10" s="312">
        <v>150</v>
      </c>
      <c r="E10" s="313"/>
      <c r="F10" s="314"/>
      <c r="G10" s="78"/>
      <c r="H10" s="301"/>
      <c r="I10" s="79"/>
      <c r="J10" s="46">
        <f>D10</f>
        <v>150</v>
      </c>
      <c r="K10" s="78"/>
      <c r="L10" s="301"/>
      <c r="M10" s="79"/>
      <c r="N10" s="46">
        <f>J10</f>
        <v>150</v>
      </c>
      <c r="O10" s="78"/>
      <c r="P10" s="30" t="s">
        <v>2</v>
      </c>
      <c r="Q10" s="80"/>
      <c r="AB10" s="239"/>
      <c r="AC10" s="242"/>
      <c r="AD10" s="243" t="s">
        <v>47</v>
      </c>
      <c r="AE10" s="240"/>
      <c r="AF10" s="239"/>
    </row>
    <row r="11" spans="2:32" ht="15" thickBot="1" x14ac:dyDescent="0.25">
      <c r="B11" s="77"/>
      <c r="C11" s="77"/>
      <c r="D11" s="4"/>
      <c r="E11" s="77"/>
      <c r="F11" s="4"/>
      <c r="G11" s="77"/>
      <c r="H11" s="302"/>
      <c r="I11" s="81"/>
      <c r="J11" s="4"/>
      <c r="K11" s="77"/>
      <c r="L11" s="302"/>
      <c r="M11" s="81"/>
      <c r="N11" s="4"/>
      <c r="O11" s="77"/>
      <c r="P11" s="77"/>
      <c r="Q11" s="82"/>
      <c r="AB11" s="239"/>
      <c r="AC11" s="242"/>
      <c r="AD11" s="243" t="s">
        <v>3</v>
      </c>
      <c r="AE11" s="240"/>
      <c r="AF11" s="239"/>
    </row>
    <row r="12" spans="2:32" ht="15" x14ac:dyDescent="0.25">
      <c r="B12" s="17" t="s">
        <v>88</v>
      </c>
      <c r="C12" s="77"/>
      <c r="D12" s="315">
        <f>D10*D13/1000</f>
        <v>14.25</v>
      </c>
      <c r="E12" s="316"/>
      <c r="F12" s="317"/>
      <c r="G12" s="77"/>
      <c r="H12" s="302"/>
      <c r="I12" s="81"/>
      <c r="J12" s="31">
        <f>D12</f>
        <v>14.25</v>
      </c>
      <c r="K12" s="77"/>
      <c r="L12" s="302"/>
      <c r="M12" s="81"/>
      <c r="N12" s="31">
        <f>J12</f>
        <v>14.25</v>
      </c>
      <c r="O12" s="77"/>
      <c r="P12" s="17" t="s">
        <v>88</v>
      </c>
      <c r="Q12" s="82"/>
      <c r="R12" s="327" t="s">
        <v>103</v>
      </c>
      <c r="S12" s="327"/>
      <c r="T12" s="327"/>
      <c r="U12" s="327"/>
      <c r="V12" s="327"/>
      <c r="W12" s="327"/>
      <c r="X12" s="327"/>
      <c r="AB12" s="239"/>
      <c r="AC12" s="240"/>
      <c r="AD12" s="240"/>
      <c r="AE12" s="240"/>
      <c r="AF12" s="239"/>
    </row>
    <row r="13" spans="2:32" ht="15" thickBot="1" x14ac:dyDescent="0.25">
      <c r="B13" s="83" t="s">
        <v>40</v>
      </c>
      <c r="C13" s="77"/>
      <c r="D13" s="318">
        <v>95</v>
      </c>
      <c r="E13" s="319"/>
      <c r="F13" s="320"/>
      <c r="G13" s="77"/>
      <c r="H13" s="302"/>
      <c r="I13" s="81"/>
      <c r="J13" s="45">
        <f>D13</f>
        <v>95</v>
      </c>
      <c r="K13" s="77"/>
      <c r="L13" s="302"/>
      <c r="M13" s="81"/>
      <c r="N13" s="45">
        <f>J13</f>
        <v>95</v>
      </c>
      <c r="O13" s="77"/>
      <c r="P13" s="83" t="s">
        <v>40</v>
      </c>
      <c r="Q13" s="84"/>
      <c r="R13" s="189"/>
      <c r="S13" s="189"/>
      <c r="T13" s="189"/>
      <c r="U13" s="189"/>
      <c r="AB13" s="239"/>
      <c r="AC13" s="240"/>
      <c r="AD13" s="240"/>
      <c r="AE13" s="240"/>
      <c r="AF13" s="239"/>
    </row>
    <row r="14" spans="2:32" ht="15" thickBot="1" x14ac:dyDescent="0.25">
      <c r="B14" s="77"/>
      <c r="C14" s="77"/>
      <c r="D14" s="18"/>
      <c r="E14" s="77"/>
      <c r="F14" s="18"/>
      <c r="G14" s="77"/>
      <c r="H14" s="302"/>
      <c r="I14" s="81"/>
      <c r="J14" s="18"/>
      <c r="K14" s="77"/>
      <c r="L14" s="302"/>
      <c r="M14" s="81"/>
      <c r="N14" s="18"/>
      <c r="O14" s="77"/>
      <c r="P14" s="77"/>
      <c r="Q14" s="82"/>
      <c r="AB14" s="239"/>
      <c r="AC14" s="289" t="s">
        <v>49</v>
      </c>
      <c r="AD14" s="289"/>
      <c r="AE14" s="289"/>
      <c r="AF14" s="239"/>
    </row>
    <row r="15" spans="2:32" ht="15.75" thickBot="1" x14ac:dyDescent="0.3">
      <c r="B15" s="19" t="s">
        <v>110</v>
      </c>
      <c r="C15" s="77"/>
      <c r="D15" s="153">
        <v>1000</v>
      </c>
      <c r="E15" s="77"/>
      <c r="F15" s="211">
        <v>25</v>
      </c>
      <c r="G15" s="77"/>
      <c r="H15" s="302"/>
      <c r="I15" s="81"/>
      <c r="J15" s="237">
        <f>(D54-J48)/J22/J21</f>
        <v>34.008126786880077</v>
      </c>
      <c r="K15" s="77"/>
      <c r="L15" s="302"/>
      <c r="M15" s="81"/>
      <c r="N15" s="44">
        <f>N19/N17</f>
        <v>30830.102040816328</v>
      </c>
      <c r="O15" s="77"/>
      <c r="P15" s="19" t="s">
        <v>118</v>
      </c>
      <c r="Q15" s="82"/>
      <c r="AB15" s="239"/>
      <c r="AC15" s="240" t="s">
        <v>50</v>
      </c>
      <c r="AD15" s="241" t="s">
        <v>33</v>
      </c>
      <c r="AE15" s="241" t="s">
        <v>3</v>
      </c>
      <c r="AF15" s="239"/>
    </row>
    <row r="16" spans="2:32" ht="15.75" thickBot="1" x14ac:dyDescent="0.3">
      <c r="B16" s="208"/>
      <c r="C16" s="77"/>
      <c r="D16" s="209"/>
      <c r="E16" s="210"/>
      <c r="F16" s="209"/>
      <c r="G16" s="77"/>
      <c r="H16" s="302"/>
      <c r="I16" s="81"/>
      <c r="J16" s="209"/>
      <c r="K16" s="77"/>
      <c r="L16" s="302"/>
      <c r="M16" s="81"/>
      <c r="N16" s="203"/>
      <c r="O16" s="77"/>
      <c r="P16" s="208"/>
      <c r="Q16" s="82"/>
      <c r="AB16" s="239"/>
      <c r="AC16" s="239" t="s">
        <v>136</v>
      </c>
      <c r="AD16" s="244">
        <v>0.8051307847082495</v>
      </c>
      <c r="AE16" s="244">
        <v>0.755</v>
      </c>
      <c r="AF16" s="239"/>
    </row>
    <row r="17" spans="2:33" ht="14.25" customHeight="1" x14ac:dyDescent="0.2">
      <c r="B17" s="86" t="s">
        <v>58</v>
      </c>
      <c r="C17" s="77"/>
      <c r="D17" s="154">
        <f>IF(D7=$AD$10,AD16,AD17)</f>
        <v>0.8051307847082495</v>
      </c>
      <c r="E17" s="77"/>
      <c r="G17" s="77"/>
      <c r="H17" s="302"/>
      <c r="I17" s="81"/>
      <c r="J17" s="205"/>
      <c r="K17" s="77"/>
      <c r="L17" s="302"/>
      <c r="M17" s="81"/>
      <c r="N17" s="54">
        <v>0.98</v>
      </c>
      <c r="O17" s="77"/>
      <c r="P17" s="86" t="s">
        <v>43</v>
      </c>
      <c r="Q17" s="82"/>
      <c r="R17" s="277" t="s">
        <v>94</v>
      </c>
      <c r="S17" s="278"/>
      <c r="T17" s="278"/>
      <c r="U17" s="278"/>
      <c r="V17" s="278"/>
      <c r="W17" s="278"/>
      <c r="X17" s="279"/>
      <c r="AB17" s="239"/>
      <c r="AC17" s="240" t="s">
        <v>3</v>
      </c>
      <c r="AD17" s="244">
        <f>AE17/AD26</f>
        <v>0.91923541247484908</v>
      </c>
      <c r="AE17" s="244">
        <v>0.86199999999999999</v>
      </c>
      <c r="AF17" s="239"/>
    </row>
    <row r="18" spans="2:33" x14ac:dyDescent="0.2">
      <c r="B18" s="87" t="s">
        <v>37</v>
      </c>
      <c r="C18" s="77"/>
      <c r="D18" s="33">
        <f>AD28</f>
        <v>9.94</v>
      </c>
      <c r="E18" s="77"/>
      <c r="G18" s="77"/>
      <c r="H18" s="302"/>
      <c r="I18" s="81"/>
      <c r="J18" s="205"/>
      <c r="K18" s="77"/>
      <c r="L18" s="302"/>
      <c r="M18" s="81"/>
      <c r="N18" s="32"/>
      <c r="O18" s="77"/>
      <c r="P18" s="87"/>
      <c r="Q18" s="82"/>
      <c r="R18" s="280"/>
      <c r="S18" s="281"/>
      <c r="T18" s="281"/>
      <c r="U18" s="281"/>
      <c r="V18" s="281"/>
      <c r="W18" s="281"/>
      <c r="X18" s="282"/>
      <c r="AB18" s="239"/>
      <c r="AC18" s="240"/>
      <c r="AD18" s="240"/>
      <c r="AE18" s="240"/>
      <c r="AF18" s="239"/>
    </row>
    <row r="19" spans="2:33" ht="15.75" thickBot="1" x14ac:dyDescent="0.3">
      <c r="B19" s="34" t="s">
        <v>38</v>
      </c>
      <c r="C19" s="77"/>
      <c r="D19" s="35">
        <f>D15*D18*D17</f>
        <v>8003</v>
      </c>
      <c r="E19" s="77"/>
      <c r="G19" s="77"/>
      <c r="H19" s="302"/>
      <c r="I19" s="81"/>
      <c r="J19" s="205"/>
      <c r="K19" s="77"/>
      <c r="L19" s="302"/>
      <c r="M19" s="81"/>
      <c r="N19" s="35">
        <f>D19+F25</f>
        <v>30213.5</v>
      </c>
      <c r="O19" s="77"/>
      <c r="P19" s="34" t="s">
        <v>38</v>
      </c>
      <c r="Q19" s="82"/>
      <c r="R19" s="283"/>
      <c r="S19" s="284"/>
      <c r="T19" s="284"/>
      <c r="U19" s="284"/>
      <c r="V19" s="284"/>
      <c r="W19" s="284"/>
      <c r="X19" s="285"/>
      <c r="AB19" s="239"/>
      <c r="AC19" s="240"/>
      <c r="AD19" s="240"/>
      <c r="AE19" s="240"/>
      <c r="AF19" s="239"/>
    </row>
    <row r="20" spans="2:33" ht="15.75" thickBot="1" x14ac:dyDescent="0.3">
      <c r="B20" s="217"/>
      <c r="C20" s="77"/>
      <c r="D20" s="203"/>
      <c r="E20" s="77"/>
      <c r="F20" s="203"/>
      <c r="G20" s="77"/>
      <c r="H20" s="302"/>
      <c r="I20" s="81"/>
      <c r="J20" s="203"/>
      <c r="K20" s="77"/>
      <c r="L20" s="302"/>
      <c r="M20" s="81"/>
      <c r="N20" s="203"/>
      <c r="O20" s="77"/>
      <c r="P20" s="217"/>
      <c r="Q20" s="82"/>
      <c r="R20" s="188"/>
      <c r="S20" s="188"/>
      <c r="T20" s="188"/>
      <c r="U20" s="188"/>
      <c r="V20" s="188"/>
      <c r="W20" s="188"/>
      <c r="X20" s="188"/>
      <c r="AB20" s="239"/>
      <c r="AC20" s="240"/>
      <c r="AD20" s="240"/>
      <c r="AE20" s="240"/>
      <c r="AF20" s="239"/>
    </row>
    <row r="21" spans="2:33" ht="15" x14ac:dyDescent="0.25">
      <c r="B21" s="86" t="s">
        <v>111</v>
      </c>
      <c r="C21" s="77"/>
      <c r="D21" s="203"/>
      <c r="E21" s="77"/>
      <c r="F21" s="154">
        <v>0.78</v>
      </c>
      <c r="G21" s="77"/>
      <c r="H21" s="302"/>
      <c r="I21" s="81"/>
      <c r="J21" s="154">
        <v>0.78</v>
      </c>
      <c r="K21" s="77"/>
      <c r="L21" s="302"/>
      <c r="M21" s="81"/>
      <c r="N21" s="203"/>
      <c r="O21" s="77"/>
      <c r="P21" s="217"/>
      <c r="Q21" s="82"/>
      <c r="R21" s="277" t="s">
        <v>135</v>
      </c>
      <c r="S21" s="278"/>
      <c r="T21" s="278"/>
      <c r="U21" s="279"/>
      <c r="V21" s="188"/>
      <c r="W21" s="188"/>
      <c r="X21" s="188"/>
      <c r="AB21" s="239"/>
      <c r="AC21" s="240"/>
      <c r="AD21" s="240"/>
      <c r="AE21" s="240"/>
      <c r="AF21" s="239"/>
    </row>
    <row r="22" spans="2:33" ht="15" x14ac:dyDescent="0.25">
      <c r="B22" s="87" t="s">
        <v>112</v>
      </c>
      <c r="C22" s="77"/>
      <c r="D22" s="203"/>
      <c r="E22" s="77"/>
      <c r="F22" s="37">
        <f>F23*$AE$37+F24*$AE$38</f>
        <v>1139</v>
      </c>
      <c r="G22" s="77"/>
      <c r="H22" s="302"/>
      <c r="I22" s="81"/>
      <c r="J22" s="37">
        <f>J23*$AE$37+J24*$AE$38</f>
        <v>1139</v>
      </c>
      <c r="K22" s="77"/>
      <c r="L22" s="302"/>
      <c r="M22" s="81"/>
      <c r="N22" s="203"/>
      <c r="O22" s="77"/>
      <c r="P22" s="217"/>
      <c r="Q22" s="82"/>
      <c r="R22" s="280"/>
      <c r="S22" s="281"/>
      <c r="T22" s="281"/>
      <c r="U22" s="282"/>
      <c r="V22" s="188"/>
      <c r="W22" s="188"/>
      <c r="X22" s="188"/>
      <c r="AB22" s="239"/>
      <c r="AC22" s="240"/>
      <c r="AD22" s="240"/>
      <c r="AE22" s="240"/>
      <c r="AF22" s="239"/>
    </row>
    <row r="23" spans="2:33" ht="15" x14ac:dyDescent="0.25">
      <c r="B23" s="218" t="s">
        <v>62</v>
      </c>
      <c r="C23" s="77"/>
      <c r="D23" s="203"/>
      <c r="E23" s="77"/>
      <c r="F23" s="219">
        <v>0</v>
      </c>
      <c r="G23" s="77"/>
      <c r="H23" s="302"/>
      <c r="I23" s="81"/>
      <c r="J23" s="225">
        <f>F23</f>
        <v>0</v>
      </c>
      <c r="K23" s="77"/>
      <c r="L23" s="302"/>
      <c r="M23" s="81"/>
      <c r="N23" s="203"/>
      <c r="O23" s="77"/>
      <c r="P23" s="217"/>
      <c r="Q23" s="82"/>
      <c r="R23" s="283"/>
      <c r="S23" s="284"/>
      <c r="T23" s="284"/>
      <c r="U23" s="285"/>
      <c r="V23" s="188"/>
      <c r="W23" s="188"/>
      <c r="X23" s="188"/>
      <c r="AB23" s="239"/>
      <c r="AC23" s="240"/>
      <c r="AD23" s="240"/>
      <c r="AE23" s="240"/>
      <c r="AF23" s="239"/>
    </row>
    <row r="24" spans="2:33" ht="15" x14ac:dyDescent="0.25">
      <c r="B24" s="218" t="s">
        <v>63</v>
      </c>
      <c r="C24" s="77"/>
      <c r="D24" s="203"/>
      <c r="E24" s="77"/>
      <c r="F24" s="225">
        <f>1-F23</f>
        <v>1</v>
      </c>
      <c r="G24" s="77"/>
      <c r="H24" s="302"/>
      <c r="I24" s="81"/>
      <c r="J24" s="225">
        <f>1-J23</f>
        <v>1</v>
      </c>
      <c r="K24" s="77"/>
      <c r="L24" s="302"/>
      <c r="M24" s="81"/>
      <c r="N24" s="203"/>
      <c r="O24" s="77"/>
      <c r="P24" s="217"/>
      <c r="Q24" s="82"/>
      <c r="R24" s="188"/>
      <c r="S24" s="188"/>
      <c r="T24" s="188"/>
      <c r="U24" s="188"/>
      <c r="V24" s="188"/>
      <c r="W24" s="188"/>
      <c r="X24" s="188"/>
      <c r="AB24" s="239"/>
      <c r="AC24" s="240"/>
      <c r="AD24" s="240"/>
      <c r="AE24" s="240"/>
      <c r="AF24" s="239"/>
    </row>
    <row r="25" spans="2:33" ht="15.75" thickBot="1" x14ac:dyDescent="0.3">
      <c r="B25" s="34" t="s">
        <v>38</v>
      </c>
      <c r="C25" s="77"/>
      <c r="D25" s="203"/>
      <c r="E25" s="77"/>
      <c r="F25" s="35">
        <f>F22*F15*F21</f>
        <v>22210.5</v>
      </c>
      <c r="G25" s="77"/>
      <c r="H25" s="302"/>
      <c r="I25" s="81"/>
      <c r="J25" s="35">
        <f>J22*J15*J21</f>
        <v>30213.499999999996</v>
      </c>
      <c r="K25" s="77"/>
      <c r="L25" s="302"/>
      <c r="M25" s="81"/>
      <c r="N25" s="203"/>
      <c r="O25" s="77"/>
      <c r="P25" s="217"/>
      <c r="Q25" s="82"/>
      <c r="R25" s="188"/>
      <c r="S25" s="188"/>
      <c r="T25" s="188"/>
      <c r="U25" s="188"/>
      <c r="V25" s="188"/>
      <c r="W25" s="188"/>
      <c r="X25" s="188"/>
      <c r="AB25" s="239"/>
      <c r="AC25" s="240"/>
      <c r="AD25" s="240"/>
      <c r="AE25" s="240"/>
      <c r="AF25" s="239"/>
    </row>
    <row r="26" spans="2:33" ht="15" thickBot="1" x14ac:dyDescent="0.25">
      <c r="B26" s="85"/>
      <c r="C26" s="77"/>
      <c r="D26" s="20"/>
      <c r="E26" s="77"/>
      <c r="F26" s="20"/>
      <c r="G26" s="77"/>
      <c r="H26" s="302"/>
      <c r="I26" s="81"/>
      <c r="J26" s="20"/>
      <c r="K26" s="77"/>
      <c r="L26" s="302"/>
      <c r="M26" s="81"/>
      <c r="N26" s="20"/>
      <c r="O26" s="77"/>
      <c r="P26" s="85"/>
      <c r="Q26" s="82"/>
      <c r="AB26" s="239"/>
      <c r="AC26" s="240" t="s">
        <v>34</v>
      </c>
      <c r="AD26" s="245">
        <f>AD28/AD27</f>
        <v>0.93773584905660379</v>
      </c>
      <c r="AE26" s="240"/>
      <c r="AF26" s="239"/>
    </row>
    <row r="27" spans="2:33" ht="15" customHeight="1" x14ac:dyDescent="0.25">
      <c r="B27" s="17" t="s">
        <v>60</v>
      </c>
      <c r="C27" s="3"/>
      <c r="D27" s="36">
        <f>D15*(D28+D29)/100</f>
        <v>825.16800000000001</v>
      </c>
      <c r="E27" s="4"/>
      <c r="F27" s="204"/>
      <c r="G27" s="4"/>
      <c r="H27" s="302"/>
      <c r="I27" s="55"/>
      <c r="J27" s="205"/>
      <c r="K27" s="4"/>
      <c r="L27" s="302"/>
      <c r="M27" s="55"/>
      <c r="N27" s="36">
        <f>N15*N28/100</f>
        <v>2003.9566326530612</v>
      </c>
      <c r="O27" s="4"/>
      <c r="P27" s="17" t="s">
        <v>119</v>
      </c>
      <c r="Q27" s="49"/>
      <c r="R27" s="337" t="s">
        <v>87</v>
      </c>
      <c r="S27" s="338"/>
      <c r="T27" s="338"/>
      <c r="U27" s="339"/>
      <c r="AB27" s="239"/>
      <c r="AC27" s="240" t="s">
        <v>3</v>
      </c>
      <c r="AD27" s="246">
        <v>10.6</v>
      </c>
      <c r="AE27" s="240"/>
      <c r="AF27" s="239"/>
    </row>
    <row r="28" spans="2:33" ht="15" x14ac:dyDescent="0.25">
      <c r="B28" s="88" t="s">
        <v>36</v>
      </c>
      <c r="C28" s="77"/>
      <c r="D28" s="155">
        <v>65</v>
      </c>
      <c r="E28" s="77"/>
      <c r="F28" s="204"/>
      <c r="G28" s="77"/>
      <c r="H28" s="302"/>
      <c r="I28" s="81"/>
      <c r="J28" s="205"/>
      <c r="K28" s="77"/>
      <c r="L28" s="302"/>
      <c r="M28" s="81"/>
      <c r="N28" s="304">
        <v>6.5</v>
      </c>
      <c r="O28" s="77"/>
      <c r="P28" s="264" t="s">
        <v>42</v>
      </c>
      <c r="Q28" s="82"/>
      <c r="R28" s="334" t="s">
        <v>85</v>
      </c>
      <c r="S28" s="335"/>
      <c r="T28" s="335"/>
      <c r="U28" s="336"/>
      <c r="AB28" s="239"/>
      <c r="AC28" s="240" t="s">
        <v>33</v>
      </c>
      <c r="AD28" s="246">
        <v>9.94</v>
      </c>
      <c r="AE28" s="240"/>
      <c r="AF28" s="239"/>
    </row>
    <row r="29" spans="2:33" ht="15.75" thickBot="1" x14ac:dyDescent="0.3">
      <c r="B29" s="89" t="s">
        <v>39</v>
      </c>
      <c r="C29" s="77"/>
      <c r="D29" s="38">
        <v>17.5168</v>
      </c>
      <c r="E29" s="21"/>
      <c r="F29" s="205"/>
      <c r="G29" s="21"/>
      <c r="H29" s="302"/>
      <c r="I29" s="56"/>
      <c r="J29" s="205"/>
      <c r="K29" s="21"/>
      <c r="L29" s="302"/>
      <c r="M29" s="56"/>
      <c r="N29" s="305"/>
      <c r="O29" s="21"/>
      <c r="P29" s="265"/>
      <c r="Q29" s="50"/>
      <c r="R29" s="331" t="s">
        <v>86</v>
      </c>
      <c r="S29" s="332"/>
      <c r="T29" s="332"/>
      <c r="U29" s="333"/>
      <c r="V29" s="328" t="s">
        <v>93</v>
      </c>
      <c r="W29" s="329"/>
      <c r="X29" s="330"/>
      <c r="AB29" s="239"/>
      <c r="AC29" s="240" t="s">
        <v>35</v>
      </c>
      <c r="AD29" s="240"/>
      <c r="AE29" s="240"/>
      <c r="AF29" s="239"/>
    </row>
    <row r="30" spans="2:33" ht="15.75" thickBot="1" x14ac:dyDescent="0.3">
      <c r="B30" s="76"/>
      <c r="C30" s="77"/>
      <c r="D30" s="205"/>
      <c r="E30" s="21"/>
      <c r="F30" s="205"/>
      <c r="G30" s="21"/>
      <c r="H30" s="302"/>
      <c r="I30" s="56"/>
      <c r="J30" s="205"/>
      <c r="K30" s="21"/>
      <c r="L30" s="302"/>
      <c r="M30" s="56"/>
      <c r="N30" s="221"/>
      <c r="O30" s="21"/>
      <c r="P30" s="222"/>
      <c r="Q30" s="50"/>
      <c r="R30" s="223"/>
      <c r="S30" s="223"/>
      <c r="T30" s="223"/>
      <c r="U30" s="223"/>
      <c r="V30" s="224"/>
      <c r="W30" s="224"/>
      <c r="X30" s="224"/>
      <c r="AB30" s="239"/>
      <c r="AC30" s="240"/>
      <c r="AD30" s="240"/>
      <c r="AE30" s="240"/>
      <c r="AF30" s="239"/>
    </row>
    <row r="31" spans="2:33" ht="15" customHeight="1" x14ac:dyDescent="0.25">
      <c r="B31" s="342" t="s">
        <v>125</v>
      </c>
      <c r="C31" s="77"/>
      <c r="E31" s="21"/>
      <c r="F31" s="36">
        <f>F32*F15</f>
        <v>1416.7670682730923</v>
      </c>
      <c r="G31" s="21"/>
      <c r="H31" s="302"/>
      <c r="I31" s="56"/>
      <c r="J31" s="36">
        <f>J32*J15</f>
        <v>1927.263763412308</v>
      </c>
      <c r="K31" s="21"/>
      <c r="L31" s="302"/>
      <c r="M31" s="56"/>
      <c r="N31" s="221"/>
      <c r="O31" s="21"/>
      <c r="P31" s="228"/>
      <c r="Q31" s="50"/>
      <c r="R31" s="277" t="s">
        <v>124</v>
      </c>
      <c r="S31" s="278"/>
      <c r="T31" s="278"/>
      <c r="U31" s="278"/>
      <c r="V31" s="278"/>
      <c r="W31" s="278"/>
      <c r="X31" s="279"/>
      <c r="AB31" s="239"/>
      <c r="AC31" s="240"/>
      <c r="AD31" s="240"/>
      <c r="AE31" s="240"/>
      <c r="AF31" s="239"/>
    </row>
    <row r="32" spans="2:33" x14ac:dyDescent="0.2">
      <c r="B32" s="343"/>
      <c r="C32" s="77"/>
      <c r="E32" s="21"/>
      <c r="F32" s="229">
        <f>(F23*F33+F24*F34)</f>
        <v>56.670682730923687</v>
      </c>
      <c r="G32" s="21"/>
      <c r="H32" s="302"/>
      <c r="I32" s="56"/>
      <c r="J32" s="229">
        <f>(J23*J33+J24*J34)</f>
        <v>56.670682730923687</v>
      </c>
      <c r="K32" s="21"/>
      <c r="L32" s="302"/>
      <c r="M32" s="56"/>
      <c r="N32" s="221"/>
      <c r="O32" s="21"/>
      <c r="P32" s="222"/>
      <c r="Q32" s="50"/>
      <c r="R32" s="280"/>
      <c r="S32" s="281"/>
      <c r="T32" s="281"/>
      <c r="U32" s="281"/>
      <c r="V32" s="281"/>
      <c r="W32" s="281"/>
      <c r="X32" s="282"/>
      <c r="AB32" s="239"/>
      <c r="AC32" s="240"/>
      <c r="AD32" s="240"/>
      <c r="AE32" s="240"/>
      <c r="AF32" s="239"/>
      <c r="AG32" s="239"/>
    </row>
    <row r="33" spans="2:33" ht="15" customHeight="1" x14ac:dyDescent="0.2">
      <c r="B33" s="226" t="s">
        <v>113</v>
      </c>
      <c r="C33" s="77"/>
      <c r="D33" s="205"/>
      <c r="E33" s="21"/>
      <c r="F33" s="231">
        <v>73.329317269076313</v>
      </c>
      <c r="G33" s="21"/>
      <c r="H33" s="302"/>
      <c r="I33" s="56"/>
      <c r="J33" s="229">
        <f>F33</f>
        <v>73.329317269076313</v>
      </c>
      <c r="K33" s="21"/>
      <c r="L33" s="302"/>
      <c r="M33" s="56"/>
      <c r="N33" s="221"/>
      <c r="O33" s="21"/>
      <c r="P33" s="222"/>
      <c r="Q33" s="50"/>
      <c r="R33" s="280"/>
      <c r="S33" s="281"/>
      <c r="T33" s="281"/>
      <c r="U33" s="281"/>
      <c r="V33" s="281"/>
      <c r="W33" s="281"/>
      <c r="X33" s="282"/>
      <c r="AB33" s="239"/>
      <c r="AC33" s="240"/>
      <c r="AD33" s="240"/>
      <c r="AE33" s="240"/>
      <c r="AF33" s="239"/>
      <c r="AG33" s="239"/>
    </row>
    <row r="34" spans="2:33" ht="15.75" customHeight="1" thickBot="1" x14ac:dyDescent="0.25">
      <c r="B34" s="227" t="s">
        <v>114</v>
      </c>
      <c r="C34" s="77"/>
      <c r="D34" s="205"/>
      <c r="E34" s="21"/>
      <c r="F34" s="158">
        <v>56.670682730923687</v>
      </c>
      <c r="G34" s="21"/>
      <c r="H34" s="302"/>
      <c r="I34" s="56"/>
      <c r="J34" s="120">
        <f>F34</f>
        <v>56.670682730923687</v>
      </c>
      <c r="K34" s="21"/>
      <c r="L34" s="302"/>
      <c r="M34" s="56"/>
      <c r="N34" s="221"/>
      <c r="O34" s="21"/>
      <c r="P34" s="222"/>
      <c r="Q34" s="50"/>
      <c r="R34" s="283"/>
      <c r="S34" s="284"/>
      <c r="T34" s="284"/>
      <c r="U34" s="284"/>
      <c r="V34" s="284"/>
      <c r="W34" s="284"/>
      <c r="X34" s="285"/>
      <c r="AB34" s="239"/>
      <c r="AC34" s="240" t="s">
        <v>115</v>
      </c>
      <c r="AD34" s="240"/>
      <c r="AE34" s="240">
        <v>91.295000000000002</v>
      </c>
      <c r="AF34" s="239"/>
      <c r="AG34" s="239"/>
    </row>
    <row r="35" spans="2:33" ht="15" thickBot="1" x14ac:dyDescent="0.25">
      <c r="H35" s="302"/>
      <c r="I35" s="90"/>
      <c r="L35" s="302"/>
      <c r="M35" s="90"/>
      <c r="P35" s="91"/>
      <c r="Q35" s="91"/>
      <c r="AB35" s="239"/>
      <c r="AC35" s="240" t="s">
        <v>116</v>
      </c>
      <c r="AD35" s="240"/>
      <c r="AE35" s="240">
        <v>70.554999999999993</v>
      </c>
      <c r="AF35" s="239"/>
      <c r="AG35" s="239"/>
    </row>
    <row r="36" spans="2:33" ht="15" x14ac:dyDescent="0.25">
      <c r="B36" s="22" t="s">
        <v>24</v>
      </c>
      <c r="C36" s="77"/>
      <c r="D36" s="36">
        <f>(D37*D38)/100</f>
        <v>21.816178000000001</v>
      </c>
      <c r="E36" s="23"/>
      <c r="F36" s="36">
        <f>(F37*D38)/100</f>
        <v>90.818734499999991</v>
      </c>
      <c r="G36" s="23"/>
      <c r="H36" s="302"/>
      <c r="I36" s="57"/>
      <c r="J36" s="36">
        <f>(J37*J38)/100</f>
        <v>123.54300149999999</v>
      </c>
      <c r="K36" s="23"/>
      <c r="L36" s="302"/>
      <c r="M36" s="57"/>
      <c r="N36" s="36">
        <f>N37*N28/100</f>
        <v>0</v>
      </c>
      <c r="O36" s="4"/>
      <c r="P36" s="135" t="s">
        <v>131</v>
      </c>
      <c r="Q36" s="51"/>
      <c r="R36" s="277" t="s">
        <v>84</v>
      </c>
      <c r="S36" s="278"/>
      <c r="T36" s="278"/>
      <c r="U36" s="279"/>
      <c r="AB36" s="239"/>
      <c r="AC36" s="240"/>
      <c r="AD36" s="240"/>
      <c r="AE36" s="240"/>
      <c r="AF36" s="239"/>
      <c r="AG36" s="239"/>
    </row>
    <row r="37" spans="2:33" ht="15.75" thickBot="1" x14ac:dyDescent="0.3">
      <c r="B37" s="24" t="s">
        <v>117</v>
      </c>
      <c r="C37" s="77"/>
      <c r="D37" s="230">
        <f>D19*0.01</f>
        <v>80.03</v>
      </c>
      <c r="E37" s="77"/>
      <c r="F37" s="230">
        <f>F25*0.015</f>
        <v>333.15749999999997</v>
      </c>
      <c r="G37" s="77"/>
      <c r="H37" s="302"/>
      <c r="I37" s="81"/>
      <c r="J37" s="37">
        <f>J25*0.015</f>
        <v>453.20249999999993</v>
      </c>
      <c r="K37" s="77"/>
      <c r="L37" s="302"/>
      <c r="M37" s="81"/>
      <c r="N37" s="37">
        <f>(N54-N19-N48)/N17</f>
        <v>0</v>
      </c>
      <c r="O37" s="77"/>
      <c r="P37" s="138" t="s">
        <v>132</v>
      </c>
      <c r="Q37" s="82"/>
      <c r="R37" s="280"/>
      <c r="S37" s="281"/>
      <c r="T37" s="281"/>
      <c r="U37" s="282"/>
      <c r="AB37" s="239"/>
      <c r="AC37" s="275" t="s">
        <v>65</v>
      </c>
      <c r="AD37" s="275"/>
      <c r="AE37" s="247">
        <v>1537</v>
      </c>
      <c r="AF37" s="239"/>
      <c r="AG37" s="239"/>
    </row>
    <row r="38" spans="2:33" ht="15.75" thickBot="1" x14ac:dyDescent="0.3">
      <c r="B38" s="25" t="s">
        <v>25</v>
      </c>
      <c r="C38" s="77"/>
      <c r="D38" s="344">
        <v>27.26</v>
      </c>
      <c r="E38" s="345"/>
      <c r="F38" s="346"/>
      <c r="G38" s="77"/>
      <c r="H38" s="302"/>
      <c r="I38" s="81"/>
      <c r="J38" s="47">
        <v>27.26</v>
      </c>
      <c r="K38" s="77"/>
      <c r="L38" s="302"/>
      <c r="M38" s="81"/>
      <c r="N38" s="149">
        <f>D42-N42</f>
        <v>0</v>
      </c>
      <c r="O38" s="77"/>
      <c r="P38" s="136" t="s">
        <v>133</v>
      </c>
      <c r="Q38" s="82"/>
      <c r="R38" s="283"/>
      <c r="S38" s="284"/>
      <c r="T38" s="284"/>
      <c r="U38" s="285"/>
      <c r="AB38" s="239"/>
      <c r="AC38" s="275" t="s">
        <v>66</v>
      </c>
      <c r="AD38" s="275"/>
      <c r="AE38" s="247">
        <v>1139</v>
      </c>
      <c r="AF38" s="239"/>
      <c r="AG38" s="239"/>
    </row>
    <row r="39" spans="2:33" ht="15" thickBot="1" x14ac:dyDescent="0.25">
      <c r="B39" s="116"/>
      <c r="C39" s="100"/>
      <c r="D39" s="117"/>
      <c r="E39" s="100"/>
      <c r="F39" s="117"/>
      <c r="G39" s="77"/>
      <c r="H39" s="302"/>
      <c r="I39" s="81"/>
      <c r="J39" s="117"/>
      <c r="K39" s="77"/>
      <c r="L39" s="302"/>
      <c r="M39" s="81"/>
      <c r="N39" s="117"/>
      <c r="O39" s="100"/>
      <c r="P39" s="126"/>
      <c r="Q39" s="82"/>
      <c r="AB39" s="239"/>
      <c r="AC39" s="239"/>
      <c r="AD39" s="239"/>
      <c r="AE39" s="239"/>
      <c r="AF39" s="239"/>
      <c r="AG39" s="239"/>
    </row>
    <row r="40" spans="2:33" x14ac:dyDescent="0.2">
      <c r="B40" s="26"/>
      <c r="C40" s="77"/>
      <c r="D40" s="27"/>
      <c r="E40" s="77"/>
      <c r="F40" s="27"/>
      <c r="G40" s="77"/>
      <c r="H40" s="302"/>
      <c r="I40" s="81"/>
      <c r="J40" s="27"/>
      <c r="K40" s="77"/>
      <c r="L40" s="302"/>
      <c r="M40" s="81"/>
      <c r="N40" s="27"/>
      <c r="O40" s="77"/>
      <c r="P40" s="52"/>
      <c r="Q40" s="82"/>
      <c r="AB40" s="239"/>
      <c r="AC40" s="239"/>
      <c r="AD40" s="239"/>
      <c r="AE40" s="239"/>
      <c r="AF40" s="239"/>
      <c r="AG40" s="239"/>
    </row>
    <row r="41" spans="2:33" ht="19.5" customHeight="1" thickBot="1" x14ac:dyDescent="0.25">
      <c r="B41" s="141" t="s">
        <v>71</v>
      </c>
      <c r="C41" s="77"/>
      <c r="D41" s="27"/>
      <c r="E41" s="77"/>
      <c r="F41" s="27"/>
      <c r="G41" s="77"/>
      <c r="H41" s="302"/>
      <c r="I41" s="81"/>
      <c r="J41" s="27"/>
      <c r="K41" s="77"/>
      <c r="L41" s="302"/>
      <c r="M41" s="81"/>
      <c r="N41" s="27"/>
      <c r="O41" s="77"/>
      <c r="P41" s="52"/>
      <c r="Q41" s="82"/>
    </row>
    <row r="42" spans="2:33" ht="15" x14ac:dyDescent="0.25">
      <c r="B42" s="17" t="s">
        <v>57</v>
      </c>
      <c r="C42" s="77"/>
      <c r="D42" s="156">
        <v>0</v>
      </c>
      <c r="E42" s="118"/>
      <c r="F42" s="212"/>
      <c r="G42" s="77"/>
      <c r="H42" s="302"/>
      <c r="I42" s="81"/>
      <c r="J42" s="121">
        <f>D42</f>
        <v>0</v>
      </c>
      <c r="K42" s="77"/>
      <c r="L42" s="302"/>
      <c r="M42" s="81"/>
      <c r="N42" s="130">
        <f>D42/3</f>
        <v>0</v>
      </c>
      <c r="O42" s="77"/>
      <c r="P42" s="17" t="s">
        <v>57</v>
      </c>
      <c r="Q42" s="82"/>
      <c r="R42" s="277" t="s">
        <v>83</v>
      </c>
      <c r="S42" s="278"/>
      <c r="T42" s="278"/>
      <c r="U42" s="279"/>
    </row>
    <row r="43" spans="2:33" x14ac:dyDescent="0.2">
      <c r="B43" s="124" t="s">
        <v>62</v>
      </c>
      <c r="C43" s="77"/>
      <c r="D43" s="157">
        <v>0.5</v>
      </c>
      <c r="E43" s="118"/>
      <c r="F43" s="206"/>
      <c r="G43" s="77"/>
      <c r="H43" s="302"/>
      <c r="I43" s="81"/>
      <c r="J43" s="122">
        <f>D43</f>
        <v>0.5</v>
      </c>
      <c r="K43" s="77"/>
      <c r="L43" s="302"/>
      <c r="M43" s="81"/>
      <c r="N43" s="122">
        <f>D43</f>
        <v>0.5</v>
      </c>
      <c r="O43" s="77"/>
      <c r="P43" s="124" t="s">
        <v>62</v>
      </c>
      <c r="Q43" s="82"/>
      <c r="R43" s="280"/>
      <c r="S43" s="281"/>
      <c r="T43" s="281"/>
      <c r="U43" s="282"/>
    </row>
    <row r="44" spans="2:33" ht="15" thickBot="1" x14ac:dyDescent="0.25">
      <c r="B44" s="125" t="s">
        <v>63</v>
      </c>
      <c r="C44" s="77"/>
      <c r="D44" s="123">
        <f>1-D43</f>
        <v>0.5</v>
      </c>
      <c r="E44" s="118"/>
      <c r="F44" s="206"/>
      <c r="G44" s="77"/>
      <c r="H44" s="302"/>
      <c r="I44" s="81"/>
      <c r="J44" s="123">
        <f>D44</f>
        <v>0.5</v>
      </c>
      <c r="K44" s="77"/>
      <c r="L44" s="302"/>
      <c r="M44" s="81"/>
      <c r="N44" s="123">
        <f>D44</f>
        <v>0.5</v>
      </c>
      <c r="O44" s="77"/>
      <c r="P44" s="125" t="s">
        <v>63</v>
      </c>
      <c r="Q44" s="82"/>
      <c r="R44" s="283"/>
      <c r="S44" s="284"/>
      <c r="T44" s="284"/>
      <c r="U44" s="285"/>
    </row>
    <row r="45" spans="2:33" ht="15" thickBot="1" x14ac:dyDescent="0.25">
      <c r="B45" s="26"/>
      <c r="C45" s="77"/>
      <c r="D45" s="27"/>
      <c r="E45" s="77"/>
      <c r="F45" s="213"/>
      <c r="G45" s="77"/>
      <c r="H45" s="302"/>
      <c r="I45" s="81"/>
      <c r="J45" s="27"/>
      <c r="K45" s="77"/>
      <c r="L45" s="302"/>
      <c r="M45" s="81"/>
      <c r="N45" s="27"/>
      <c r="O45" s="77"/>
      <c r="P45" s="26"/>
      <c r="Q45" s="82"/>
    </row>
    <row r="46" spans="2:33" x14ac:dyDescent="0.2">
      <c r="B46" s="86" t="s">
        <v>59</v>
      </c>
      <c r="C46" s="77"/>
      <c r="D46" s="154">
        <v>0.65</v>
      </c>
      <c r="E46" s="77"/>
      <c r="F46" s="214"/>
      <c r="G46" s="77"/>
      <c r="H46" s="302"/>
      <c r="I46" s="81"/>
      <c r="J46" s="54">
        <f>D46</f>
        <v>0.65</v>
      </c>
      <c r="K46" s="77"/>
      <c r="L46" s="302"/>
      <c r="M46" s="81"/>
      <c r="N46" s="54">
        <f>J46</f>
        <v>0.65</v>
      </c>
      <c r="O46" s="77"/>
      <c r="P46" s="86" t="s">
        <v>59</v>
      </c>
      <c r="Q46" s="82"/>
      <c r="R46" s="277" t="s">
        <v>82</v>
      </c>
      <c r="S46" s="278"/>
      <c r="T46" s="278"/>
      <c r="U46" s="279"/>
    </row>
    <row r="47" spans="2:33" x14ac:dyDescent="0.2">
      <c r="B47" s="87" t="s">
        <v>64</v>
      </c>
      <c r="C47" s="77"/>
      <c r="D47" s="127">
        <f>IF(D42=0,0,(D42*D43*AE37+D42*D44*AE38)/D42)</f>
        <v>0</v>
      </c>
      <c r="E47" s="77"/>
      <c r="F47" s="207"/>
      <c r="G47" s="77"/>
      <c r="H47" s="302"/>
      <c r="I47" s="81"/>
      <c r="J47" s="33">
        <f>D47</f>
        <v>0</v>
      </c>
      <c r="K47" s="77"/>
      <c r="L47" s="302"/>
      <c r="M47" s="81"/>
      <c r="N47" s="127">
        <f>J47</f>
        <v>0</v>
      </c>
      <c r="O47" s="77"/>
      <c r="P47" s="87" t="s">
        <v>64</v>
      </c>
      <c r="Q47" s="82"/>
      <c r="R47" s="280"/>
      <c r="S47" s="281"/>
      <c r="T47" s="281"/>
      <c r="U47" s="282"/>
    </row>
    <row r="48" spans="2:33" ht="15.75" thickBot="1" x14ac:dyDescent="0.3">
      <c r="B48" s="34" t="s">
        <v>95</v>
      </c>
      <c r="C48" s="77"/>
      <c r="D48" s="35">
        <f>IF(D42=0,0,D42*D47*D46)</f>
        <v>0</v>
      </c>
      <c r="E48" s="77"/>
      <c r="F48" s="203"/>
      <c r="G48" s="77"/>
      <c r="H48" s="302"/>
      <c r="I48" s="81"/>
      <c r="J48" s="35">
        <f>D48</f>
        <v>0</v>
      </c>
      <c r="K48" s="77"/>
      <c r="L48" s="302"/>
      <c r="M48" s="81"/>
      <c r="N48" s="35">
        <f>N42*N47*N46</f>
        <v>0</v>
      </c>
      <c r="O48" s="77"/>
      <c r="P48" s="34" t="s">
        <v>95</v>
      </c>
      <c r="Q48" s="82"/>
      <c r="R48" s="283"/>
      <c r="S48" s="284"/>
      <c r="T48" s="284"/>
      <c r="U48" s="285"/>
    </row>
    <row r="49" spans="2:24" ht="15" thickBot="1" x14ac:dyDescent="0.25">
      <c r="B49" s="26"/>
      <c r="C49" s="77"/>
      <c r="D49" s="27"/>
      <c r="E49" s="77"/>
      <c r="F49" s="213"/>
      <c r="G49" s="77"/>
      <c r="H49" s="302"/>
      <c r="I49" s="81"/>
      <c r="J49" s="27"/>
      <c r="K49" s="77"/>
      <c r="L49" s="302"/>
      <c r="M49" s="81"/>
      <c r="N49" s="27"/>
      <c r="O49" s="77"/>
      <c r="P49" s="26"/>
      <c r="Q49" s="82"/>
    </row>
    <row r="50" spans="2:24" ht="15" customHeight="1" x14ac:dyDescent="0.25">
      <c r="B50" s="17" t="s">
        <v>61</v>
      </c>
      <c r="C50" s="3"/>
      <c r="D50" s="36">
        <f>D51*D42</f>
        <v>0</v>
      </c>
      <c r="E50" s="4"/>
      <c r="F50" s="204"/>
      <c r="G50" s="77"/>
      <c r="H50" s="302"/>
      <c r="I50" s="81"/>
      <c r="J50" s="36">
        <f>J51*J42</f>
        <v>0</v>
      </c>
      <c r="K50" s="77"/>
      <c r="L50" s="302"/>
      <c r="M50" s="81"/>
      <c r="N50" s="36">
        <f>N51*N42</f>
        <v>0</v>
      </c>
      <c r="O50" s="77"/>
      <c r="P50" s="17" t="s">
        <v>61</v>
      </c>
      <c r="Q50" s="82"/>
      <c r="R50" s="306" t="s">
        <v>123</v>
      </c>
      <c r="S50" s="307"/>
      <c r="T50" s="307"/>
      <c r="U50" s="307"/>
      <c r="V50" s="307"/>
      <c r="W50" s="307"/>
      <c r="X50" s="308"/>
    </row>
    <row r="51" spans="2:24" ht="15" thickBot="1" x14ac:dyDescent="0.25">
      <c r="B51" s="119" t="s">
        <v>68</v>
      </c>
      <c r="C51" s="77"/>
      <c r="D51" s="158">
        <f>D43*98.68+D44*79.38</f>
        <v>89.03</v>
      </c>
      <c r="E51" s="77"/>
      <c r="F51" s="215"/>
      <c r="G51" s="77"/>
      <c r="H51" s="302"/>
      <c r="I51" s="81"/>
      <c r="J51" s="120">
        <f>D51</f>
        <v>89.03</v>
      </c>
      <c r="K51" s="77"/>
      <c r="L51" s="302"/>
      <c r="M51" s="81"/>
      <c r="N51" s="120">
        <f>J51</f>
        <v>89.03</v>
      </c>
      <c r="O51" s="77"/>
      <c r="P51" s="119" t="s">
        <v>68</v>
      </c>
      <c r="Q51" s="82"/>
      <c r="R51" s="309"/>
      <c r="S51" s="310"/>
      <c r="T51" s="310"/>
      <c r="U51" s="310"/>
      <c r="V51" s="310"/>
      <c r="W51" s="310"/>
      <c r="X51" s="311"/>
    </row>
    <row r="52" spans="2:24" ht="15" thickBot="1" x14ac:dyDescent="0.25">
      <c r="B52" s="106"/>
      <c r="C52" s="100"/>
      <c r="D52" s="134"/>
      <c r="E52" s="100"/>
      <c r="F52" s="134"/>
      <c r="G52" s="77"/>
      <c r="H52" s="302"/>
      <c r="I52" s="81"/>
      <c r="J52" s="133"/>
      <c r="K52" s="77"/>
      <c r="L52" s="302"/>
      <c r="M52" s="81"/>
      <c r="N52" s="133"/>
      <c r="O52" s="100"/>
      <c r="P52" s="106"/>
      <c r="Q52" s="82"/>
    </row>
    <row r="53" spans="2:24" ht="15" thickBot="1" x14ac:dyDescent="0.25">
      <c r="B53" s="131"/>
      <c r="C53" s="95"/>
      <c r="D53" s="132"/>
      <c r="E53" s="95"/>
      <c r="F53" s="132"/>
      <c r="G53" s="77"/>
      <c r="H53" s="302"/>
      <c r="I53" s="81"/>
      <c r="J53" s="132"/>
      <c r="K53" s="77"/>
      <c r="L53" s="302"/>
      <c r="M53" s="81"/>
      <c r="N53" s="27"/>
      <c r="O53" s="77"/>
      <c r="P53" s="52"/>
      <c r="Q53" s="82"/>
    </row>
    <row r="54" spans="2:24" ht="15.75" thickBot="1" x14ac:dyDescent="0.3">
      <c r="B54" s="137" t="s">
        <v>67</v>
      </c>
      <c r="C54" s="95"/>
      <c r="D54" s="347">
        <f>D48+D19+F25</f>
        <v>30213.5</v>
      </c>
      <c r="E54" s="348"/>
      <c r="F54" s="349"/>
      <c r="G54" s="77"/>
      <c r="H54" s="302"/>
      <c r="I54" s="81"/>
      <c r="J54" s="44">
        <f>J48+J25</f>
        <v>30213.499999999996</v>
      </c>
      <c r="K54" s="77"/>
      <c r="L54" s="302"/>
      <c r="M54" s="81"/>
      <c r="N54" s="44">
        <f>D54</f>
        <v>30213.5</v>
      </c>
      <c r="O54" s="77"/>
      <c r="P54" s="137" t="s">
        <v>67</v>
      </c>
      <c r="Q54" s="82"/>
    </row>
    <row r="55" spans="2:24" ht="15" thickBot="1" x14ac:dyDescent="0.25">
      <c r="B55" s="26"/>
      <c r="C55" s="77"/>
      <c r="D55" s="27"/>
      <c r="E55" s="77"/>
      <c r="F55" s="27"/>
      <c r="G55" s="77"/>
      <c r="H55" s="302"/>
      <c r="I55" s="81"/>
      <c r="J55" s="27"/>
      <c r="K55" s="77"/>
      <c r="L55" s="302"/>
      <c r="M55" s="81"/>
      <c r="N55" s="27"/>
      <c r="O55" s="77"/>
      <c r="P55" s="52"/>
      <c r="Q55" s="82"/>
    </row>
    <row r="56" spans="2:24" ht="15" x14ac:dyDescent="0.25">
      <c r="B56" s="250" t="s">
        <v>5</v>
      </c>
      <c r="C56" s="77"/>
      <c r="D56" s="269">
        <f>D27+D36+D50+F36+F31</f>
        <v>2354.5699807730925</v>
      </c>
      <c r="E56" s="270"/>
      <c r="F56" s="271"/>
      <c r="G56" s="4"/>
      <c r="H56" s="302"/>
      <c r="I56" s="55"/>
      <c r="J56" s="72">
        <f>J27+J36+J31</f>
        <v>2050.8067649123082</v>
      </c>
      <c r="K56" s="4"/>
      <c r="L56" s="302"/>
      <c r="M56" s="55"/>
      <c r="N56" s="64">
        <f>N27+N36+N50</f>
        <v>2003.9566326530612</v>
      </c>
      <c r="O56" s="4"/>
      <c r="P56" s="248" t="s">
        <v>5</v>
      </c>
      <c r="Q56" s="49"/>
    </row>
    <row r="57" spans="2:24" ht="15.75" thickBot="1" x14ac:dyDescent="0.3">
      <c r="B57" s="251"/>
      <c r="C57" s="77"/>
      <c r="D57" s="272">
        <f>D56*100/D54</f>
        <v>7.7931056672450811</v>
      </c>
      <c r="E57" s="273"/>
      <c r="F57" s="274"/>
      <c r="G57" s="4"/>
      <c r="H57" s="303"/>
      <c r="I57" s="55"/>
      <c r="J57" s="73">
        <f>J56*100/J54</f>
        <v>6.7877166330028249</v>
      </c>
      <c r="K57" s="4"/>
      <c r="L57" s="303"/>
      <c r="M57" s="55"/>
      <c r="N57" s="65">
        <f>N56*100/N54</f>
        <v>6.6326530612244898</v>
      </c>
      <c r="O57" s="4"/>
      <c r="P57" s="249"/>
      <c r="Q57" s="49"/>
    </row>
    <row r="58" spans="2:24" ht="15.75" thickBot="1" x14ac:dyDescent="0.3">
      <c r="B58" s="68"/>
      <c r="C58" s="92"/>
      <c r="D58" s="69"/>
      <c r="E58" s="70"/>
      <c r="F58" s="69"/>
      <c r="G58" s="71"/>
      <c r="H58" s="93"/>
      <c r="I58" s="71"/>
      <c r="J58" s="69"/>
      <c r="K58" s="71"/>
      <c r="L58" s="93"/>
      <c r="M58" s="71"/>
      <c r="N58" s="69"/>
      <c r="O58" s="70"/>
      <c r="P58" s="68"/>
      <c r="Q58" s="49"/>
    </row>
    <row r="59" spans="2:24" ht="15" thickBot="1" x14ac:dyDescent="0.25">
      <c r="B59" s="77"/>
      <c r="C59" s="77"/>
      <c r="D59" s="28"/>
      <c r="E59" s="77"/>
      <c r="F59" s="28"/>
      <c r="G59" s="77"/>
      <c r="H59" s="94"/>
      <c r="I59" s="95"/>
      <c r="J59" s="28"/>
      <c r="K59" s="77"/>
      <c r="L59" s="94"/>
      <c r="M59" s="95"/>
      <c r="N59" s="28"/>
      <c r="O59" s="77"/>
      <c r="P59" s="41"/>
      <c r="Q59" s="82"/>
    </row>
    <row r="60" spans="2:24" x14ac:dyDescent="0.2">
      <c r="B60" s="96" t="s">
        <v>26</v>
      </c>
      <c r="C60" s="77"/>
      <c r="D60" s="159">
        <f>125/3</f>
        <v>41.666666666666664</v>
      </c>
      <c r="E60" s="77"/>
      <c r="F60" s="159">
        <f>Daten!$J$6/3*2</f>
        <v>122.39546666666666</v>
      </c>
      <c r="G60" s="77"/>
      <c r="H60" s="97"/>
      <c r="I60" s="95"/>
      <c r="J60" s="159">
        <f>Daten!J6</f>
        <v>183.5932</v>
      </c>
      <c r="K60" s="77"/>
      <c r="L60" s="97"/>
      <c r="M60" s="95"/>
      <c r="N60" s="252">
        <f>IF(N12&lt;15,600,600+(N12-15)*15)</f>
        <v>600</v>
      </c>
      <c r="O60" s="77"/>
      <c r="P60" s="286" t="s">
        <v>41</v>
      </c>
      <c r="Q60" s="82"/>
      <c r="R60" s="327" t="s">
        <v>96</v>
      </c>
      <c r="S60" s="327"/>
      <c r="T60" s="327"/>
      <c r="U60" s="327"/>
      <c r="V60" s="327"/>
      <c r="W60" s="327"/>
      <c r="X60" s="327"/>
    </row>
    <row r="61" spans="2:24" ht="15" thickBot="1" x14ac:dyDescent="0.25">
      <c r="B61" s="87" t="s">
        <v>27</v>
      </c>
      <c r="C61" s="77"/>
      <c r="D61" s="216">
        <f>130/3</f>
        <v>43.333333333333336</v>
      </c>
      <c r="E61" s="77"/>
      <c r="F61" s="216">
        <f>Daten!$J$4/3*2</f>
        <v>194.70028316666665</v>
      </c>
      <c r="G61" s="77"/>
      <c r="H61" s="98"/>
      <c r="I61" s="95"/>
      <c r="J61" s="238">
        <f>Daten!J4</f>
        <v>292.05042474999999</v>
      </c>
      <c r="K61" s="77"/>
      <c r="L61" s="98"/>
      <c r="M61" s="95"/>
      <c r="N61" s="253"/>
      <c r="O61" s="77"/>
      <c r="P61" s="287"/>
      <c r="Q61" s="82"/>
      <c r="R61" s="327" t="s">
        <v>97</v>
      </c>
      <c r="S61" s="327"/>
      <c r="T61" s="327"/>
      <c r="U61" s="327"/>
      <c r="V61" s="327"/>
      <c r="W61" s="327"/>
      <c r="X61" s="327"/>
    </row>
    <row r="62" spans="2:24" ht="15" thickBot="1" x14ac:dyDescent="0.25">
      <c r="B62" s="83" t="s">
        <v>28</v>
      </c>
      <c r="C62" s="77"/>
      <c r="D62" s="258">
        <v>260</v>
      </c>
      <c r="E62" s="259"/>
      <c r="F62" s="260"/>
      <c r="G62" s="77"/>
      <c r="H62" s="98"/>
      <c r="I62" s="95"/>
      <c r="J62" s="232">
        <v>185</v>
      </c>
      <c r="K62" s="77"/>
      <c r="L62" s="98"/>
      <c r="M62" s="95"/>
      <c r="N62" s="254"/>
      <c r="O62" s="77"/>
      <c r="P62" s="288"/>
      <c r="Q62" s="82"/>
      <c r="R62" s="327" t="s">
        <v>98</v>
      </c>
      <c r="S62" s="327"/>
      <c r="T62" s="327"/>
      <c r="U62" s="327"/>
      <c r="V62" s="327"/>
      <c r="W62" s="327"/>
      <c r="X62" s="327"/>
    </row>
    <row r="63" spans="2:24" ht="15" thickBot="1" x14ac:dyDescent="0.25">
      <c r="H63" s="98"/>
      <c r="I63" s="99"/>
      <c r="L63" s="98"/>
      <c r="M63" s="99"/>
      <c r="P63" s="91"/>
      <c r="Q63" s="91"/>
    </row>
    <row r="64" spans="2:24" ht="15" x14ac:dyDescent="0.25">
      <c r="B64" s="17" t="s">
        <v>120</v>
      </c>
      <c r="F64" s="36">
        <f>F65*F67</f>
        <v>375</v>
      </c>
      <c r="H64" s="98"/>
      <c r="I64" s="99"/>
      <c r="J64" s="36">
        <f>J65*J67</f>
        <v>510.12190180320118</v>
      </c>
      <c r="L64" s="98"/>
      <c r="M64" s="99"/>
      <c r="P64" s="91"/>
      <c r="Q64" s="91"/>
    </row>
    <row r="65" spans="2:28" x14ac:dyDescent="0.2">
      <c r="B65" s="340" t="s">
        <v>121</v>
      </c>
      <c r="F65" s="234">
        <f>F15*6</f>
        <v>150</v>
      </c>
      <c r="H65" s="98"/>
      <c r="I65" s="99"/>
      <c r="J65" s="234">
        <f>J15*6</f>
        <v>204.04876072128047</v>
      </c>
      <c r="L65" s="98"/>
      <c r="M65" s="99"/>
      <c r="P65" s="91"/>
      <c r="Q65" s="91"/>
    </row>
    <row r="66" spans="2:28" x14ac:dyDescent="0.2">
      <c r="B66" s="341"/>
      <c r="F66" s="236">
        <f>((F65/365)/100*60)*100</f>
        <v>24.657534246575342</v>
      </c>
      <c r="H66" s="98"/>
      <c r="I66" s="99"/>
      <c r="J66" s="236">
        <f>((J65/365)/100*60)*100</f>
        <v>33.542262036374879</v>
      </c>
      <c r="L66" s="98"/>
      <c r="M66" s="99"/>
      <c r="P66" s="91"/>
      <c r="Q66" s="91"/>
    </row>
    <row r="67" spans="2:28" ht="15" thickBot="1" x14ac:dyDescent="0.25">
      <c r="B67" s="233" t="s">
        <v>122</v>
      </c>
      <c r="F67" s="235">
        <v>2.5</v>
      </c>
      <c r="H67" s="98"/>
      <c r="I67" s="99"/>
      <c r="J67" s="235">
        <v>2.5</v>
      </c>
      <c r="L67" s="98"/>
      <c r="M67" s="99"/>
      <c r="P67" s="91"/>
      <c r="Q67" s="91"/>
    </row>
    <row r="68" spans="2:28" ht="15" thickBot="1" x14ac:dyDescent="0.25">
      <c r="H68" s="98"/>
      <c r="I68" s="99"/>
      <c r="L68" s="98"/>
      <c r="M68" s="99"/>
      <c r="P68" s="91"/>
      <c r="Q68" s="91"/>
    </row>
    <row r="69" spans="2:28" ht="15.75" thickBot="1" x14ac:dyDescent="0.3">
      <c r="B69" s="108" t="s">
        <v>4</v>
      </c>
      <c r="C69" s="77"/>
      <c r="D69" s="261">
        <f>D61+D60+D62+F60+F61+F64</f>
        <v>1037.0957498333332</v>
      </c>
      <c r="E69" s="262"/>
      <c r="F69" s="263"/>
      <c r="G69" s="4"/>
      <c r="H69" s="191"/>
      <c r="I69" s="67"/>
      <c r="J69" s="109">
        <f>J61+J60+J62+J64</f>
        <v>1170.7655265532012</v>
      </c>
      <c r="K69" s="4"/>
      <c r="L69" s="191"/>
      <c r="M69" s="67"/>
      <c r="N69" s="110">
        <f>N61+N60+N62</f>
        <v>600</v>
      </c>
      <c r="O69" s="4"/>
      <c r="P69" s="111" t="s">
        <v>4</v>
      </c>
      <c r="Q69" s="49"/>
    </row>
    <row r="70" spans="2:28" ht="15" thickBot="1" x14ac:dyDescent="0.25">
      <c r="B70" s="100"/>
      <c r="C70" s="100"/>
      <c r="D70" s="29"/>
      <c r="E70" s="100"/>
      <c r="F70" s="29"/>
      <c r="G70" s="100"/>
      <c r="H70" s="100"/>
      <c r="I70" s="100"/>
      <c r="J70" s="29"/>
      <c r="K70" s="100"/>
      <c r="L70" s="100"/>
      <c r="M70" s="100"/>
      <c r="N70" s="29"/>
      <c r="O70" s="100"/>
      <c r="P70" s="48"/>
      <c r="Q70" s="82"/>
      <c r="R70" s="101"/>
    </row>
    <row r="71" spans="2:28" ht="15" thickBot="1" x14ac:dyDescent="0.25">
      <c r="B71" s="77"/>
      <c r="C71" s="77"/>
      <c r="D71" s="28"/>
      <c r="E71" s="77"/>
      <c r="F71" s="28"/>
      <c r="G71" s="77"/>
      <c r="H71" s="77"/>
      <c r="I71" s="77"/>
      <c r="J71" s="28"/>
      <c r="K71" s="77"/>
      <c r="L71" s="77"/>
      <c r="M71" s="77"/>
      <c r="N71" s="28" t="s">
        <v>6</v>
      </c>
      <c r="O71" s="77"/>
      <c r="P71" s="41"/>
      <c r="Q71" s="82"/>
      <c r="R71" s="102"/>
    </row>
    <row r="72" spans="2:28" ht="15" customHeight="1" x14ac:dyDescent="0.25">
      <c r="B72" s="250" t="s">
        <v>29</v>
      </c>
      <c r="C72" s="77"/>
      <c r="D72" s="269">
        <f>D56+D69</f>
        <v>3391.6657306064258</v>
      </c>
      <c r="E72" s="270"/>
      <c r="F72" s="271"/>
      <c r="G72" s="77"/>
      <c r="H72" s="255"/>
      <c r="I72" s="81"/>
      <c r="J72" s="72">
        <f>J56+J69</f>
        <v>3221.5722914655094</v>
      </c>
      <c r="K72" s="77"/>
      <c r="L72" s="255"/>
      <c r="M72" s="81"/>
      <c r="N72" s="64">
        <f>N56+N69</f>
        <v>2603.9566326530612</v>
      </c>
      <c r="O72" s="77"/>
      <c r="P72" s="248" t="s">
        <v>29</v>
      </c>
      <c r="Q72" s="82"/>
      <c r="R72" s="321" t="s">
        <v>104</v>
      </c>
      <c r="S72" s="322"/>
      <c r="T72" s="322"/>
      <c r="U72" s="322"/>
      <c r="V72" s="322"/>
      <c r="W72" s="322"/>
      <c r="X72" s="323"/>
      <c r="Y72" s="147"/>
      <c r="Z72" s="147"/>
      <c r="AA72" s="147"/>
      <c r="AB72" s="147"/>
    </row>
    <row r="73" spans="2:28" ht="15.75" thickBot="1" x14ac:dyDescent="0.3">
      <c r="B73" s="251"/>
      <c r="C73" s="77"/>
      <c r="D73" s="272">
        <f>D72*100/D54</f>
        <v>11.225663132726847</v>
      </c>
      <c r="E73" s="273"/>
      <c r="F73" s="274"/>
      <c r="G73" s="6"/>
      <c r="H73" s="256"/>
      <c r="I73" s="58"/>
      <c r="J73" s="73">
        <f>J72*100/J54</f>
        <v>10.662691483825144</v>
      </c>
      <c r="K73" s="6"/>
      <c r="L73" s="256"/>
      <c r="M73" s="58"/>
      <c r="N73" s="65">
        <f>N72*100/N54</f>
        <v>8.6185203059991764</v>
      </c>
      <c r="O73" s="6"/>
      <c r="P73" s="249"/>
      <c r="Q73" s="53"/>
      <c r="R73" s="324"/>
      <c r="S73" s="325"/>
      <c r="T73" s="325"/>
      <c r="U73" s="325"/>
      <c r="V73" s="325"/>
      <c r="W73" s="325"/>
      <c r="X73" s="326"/>
      <c r="Y73" s="147"/>
      <c r="Z73" s="147"/>
      <c r="AA73" s="147"/>
      <c r="AB73" s="147"/>
    </row>
    <row r="74" spans="2:28" x14ac:dyDescent="0.2">
      <c r="B74" s="77"/>
      <c r="C74" s="77"/>
      <c r="D74" s="28"/>
      <c r="E74" s="77"/>
      <c r="F74" s="28"/>
      <c r="G74" s="77"/>
      <c r="H74" s="256"/>
      <c r="I74" s="81"/>
      <c r="J74" s="28"/>
      <c r="K74" s="77"/>
      <c r="L74" s="256"/>
      <c r="M74" s="81"/>
      <c r="N74" s="28"/>
      <c r="O74" s="77"/>
      <c r="P74" s="41"/>
      <c r="Q74" s="82"/>
      <c r="R74" s="102"/>
    </row>
    <row r="75" spans="2:28" ht="15.75" thickBot="1" x14ac:dyDescent="0.3">
      <c r="B75" s="77"/>
      <c r="C75" s="77"/>
      <c r="D75" s="28"/>
      <c r="E75" s="77"/>
      <c r="F75" s="28"/>
      <c r="G75" s="77"/>
      <c r="H75" s="256"/>
      <c r="I75" s="81"/>
      <c r="J75" s="28"/>
      <c r="K75" s="77"/>
      <c r="L75" s="256"/>
      <c r="M75" s="81"/>
      <c r="N75" s="181" t="s">
        <v>105</v>
      </c>
      <c r="O75" s="77"/>
      <c r="P75" s="41"/>
      <c r="Q75" s="82"/>
      <c r="R75" s="102"/>
    </row>
    <row r="76" spans="2:28" x14ac:dyDescent="0.2">
      <c r="B76" s="77"/>
      <c r="C76" s="77"/>
      <c r="D76" s="28"/>
      <c r="E76" s="77"/>
      <c r="F76" s="28"/>
      <c r="G76" s="77"/>
      <c r="H76" s="256"/>
      <c r="I76" s="81"/>
      <c r="J76" s="28"/>
      <c r="K76" s="77"/>
      <c r="L76" s="256"/>
      <c r="M76" s="81"/>
      <c r="N76" s="182">
        <f>N111</f>
        <v>2003.9566326530612</v>
      </c>
      <c r="P76" s="184" t="s">
        <v>80</v>
      </c>
      <c r="Q76" s="82"/>
      <c r="R76" s="102"/>
    </row>
    <row r="77" spans="2:28" ht="15" thickBot="1" x14ac:dyDescent="0.25">
      <c r="B77" s="77"/>
      <c r="C77" s="77"/>
      <c r="D77" s="28"/>
      <c r="E77" s="77"/>
      <c r="F77" s="28"/>
      <c r="G77" s="77"/>
      <c r="H77" s="256"/>
      <c r="I77" s="81"/>
      <c r="J77" s="28"/>
      <c r="K77" s="77"/>
      <c r="L77" s="256"/>
      <c r="M77" s="81"/>
      <c r="N77" s="183">
        <f>N112</f>
        <v>600</v>
      </c>
      <c r="P77" s="185" t="s">
        <v>41</v>
      </c>
      <c r="Q77" s="82"/>
      <c r="R77" s="102"/>
    </row>
    <row r="78" spans="2:28" ht="15.75" thickBot="1" x14ac:dyDescent="0.3">
      <c r="B78" s="77"/>
      <c r="C78" s="77"/>
      <c r="D78" s="28"/>
      <c r="E78" s="77"/>
      <c r="F78" s="28"/>
      <c r="G78" s="77"/>
      <c r="H78" s="256"/>
      <c r="I78" s="81"/>
      <c r="J78" s="28"/>
      <c r="K78" s="77"/>
      <c r="L78" s="256"/>
      <c r="M78" s="81"/>
      <c r="N78" s="187">
        <f>N76+N77</f>
        <v>2603.9566326530612</v>
      </c>
      <c r="P78" s="187" t="s">
        <v>81</v>
      </c>
      <c r="Q78" s="82"/>
      <c r="R78" s="102"/>
    </row>
    <row r="79" spans="2:28" ht="15" thickBot="1" x14ac:dyDescent="0.25">
      <c r="B79" s="77"/>
      <c r="C79" s="77"/>
      <c r="D79" s="28"/>
      <c r="E79" s="77"/>
      <c r="F79" s="28"/>
      <c r="G79" s="77"/>
      <c r="H79" s="256"/>
      <c r="I79" s="81"/>
      <c r="J79" s="28"/>
      <c r="K79" s="77"/>
      <c r="L79" s="256"/>
      <c r="M79" s="81"/>
      <c r="Q79" s="82"/>
      <c r="R79" s="102"/>
    </row>
    <row r="80" spans="2:28" ht="15.75" thickBot="1" x14ac:dyDescent="0.3">
      <c r="B80" s="77"/>
      <c r="C80" s="77"/>
      <c r="D80" s="28"/>
      <c r="E80" s="77"/>
      <c r="F80" s="28"/>
      <c r="G80" s="77"/>
      <c r="H80" s="257"/>
      <c r="I80" s="81"/>
      <c r="J80" s="28"/>
      <c r="K80" s="77"/>
      <c r="L80" s="257"/>
      <c r="M80" s="81"/>
      <c r="N80" s="187">
        <f>N116</f>
        <v>0</v>
      </c>
      <c r="P80" s="192" t="s">
        <v>92</v>
      </c>
      <c r="Q80" s="82"/>
      <c r="R80" s="102"/>
    </row>
    <row r="81" spans="2:19" x14ac:dyDescent="0.2">
      <c r="B81" s="77"/>
      <c r="C81" s="77"/>
      <c r="D81" s="28"/>
      <c r="E81" s="77"/>
      <c r="F81" s="28"/>
      <c r="G81" s="77"/>
      <c r="H81" s="95"/>
      <c r="I81" s="95"/>
      <c r="J81" s="28"/>
      <c r="K81" s="77"/>
      <c r="L81" s="95"/>
      <c r="M81" s="95"/>
      <c r="N81" s="28"/>
      <c r="O81" s="77"/>
      <c r="P81" s="41"/>
      <c r="Q81" s="82"/>
      <c r="R81" s="102"/>
    </row>
    <row r="82" spans="2:19" ht="15" thickBot="1" x14ac:dyDescent="0.25">
      <c r="B82" s="100"/>
      <c r="C82" s="100"/>
      <c r="D82" s="29"/>
      <c r="E82" s="100"/>
      <c r="F82" s="29"/>
      <c r="G82" s="100"/>
      <c r="H82" s="93"/>
      <c r="I82" s="100"/>
      <c r="J82" s="29"/>
      <c r="K82" s="100"/>
      <c r="L82" s="93"/>
      <c r="M82" s="100"/>
      <c r="N82" s="29"/>
      <c r="O82" s="100"/>
      <c r="P82" s="48"/>
      <c r="Q82" s="82"/>
      <c r="R82" s="102"/>
    </row>
    <row r="83" spans="2:19" x14ac:dyDescent="0.2">
      <c r="B83" s="77"/>
      <c r="C83" s="77"/>
      <c r="D83" s="28"/>
      <c r="E83" s="28"/>
      <c r="F83" s="28"/>
      <c r="G83" s="28"/>
      <c r="H83" s="28"/>
      <c r="I83" s="77"/>
      <c r="J83" s="28"/>
      <c r="K83" s="77"/>
      <c r="L83" s="94"/>
      <c r="M83" s="95"/>
      <c r="N83" s="28"/>
      <c r="O83" s="77"/>
      <c r="P83" s="41"/>
      <c r="Q83" s="82"/>
      <c r="R83" s="102"/>
    </row>
    <row r="84" spans="2:19" x14ac:dyDescent="0.2">
      <c r="B84" s="77"/>
      <c r="C84" s="77"/>
      <c r="D84" s="28"/>
      <c r="E84" s="28"/>
      <c r="F84" s="28"/>
      <c r="G84" s="28"/>
      <c r="H84" s="28"/>
      <c r="I84" s="77"/>
      <c r="J84" s="28"/>
      <c r="K84" s="77"/>
      <c r="L84" s="139"/>
      <c r="M84" s="81"/>
      <c r="N84" s="28"/>
      <c r="O84" s="77"/>
      <c r="P84" s="41"/>
      <c r="Q84" s="82"/>
      <c r="R84" s="102"/>
    </row>
    <row r="85" spans="2:19" x14ac:dyDescent="0.2">
      <c r="B85" s="266" t="s">
        <v>56</v>
      </c>
      <c r="C85" s="267"/>
      <c r="D85" s="267"/>
      <c r="E85" s="267"/>
      <c r="F85" s="267"/>
      <c r="G85" s="267"/>
      <c r="H85" s="267"/>
      <c r="I85" s="267"/>
      <c r="J85" s="268"/>
      <c r="K85" s="77"/>
      <c r="L85" s="139"/>
      <c r="M85" s="81"/>
      <c r="N85" s="276" t="s">
        <v>89</v>
      </c>
      <c r="O85" s="276"/>
      <c r="P85" s="276"/>
      <c r="Q85" s="82"/>
      <c r="R85" s="102"/>
    </row>
    <row r="86" spans="2:19" x14ac:dyDescent="0.2">
      <c r="B86" s="77"/>
      <c r="C86" s="77"/>
      <c r="D86" s="28"/>
      <c r="E86" s="28"/>
      <c r="F86" s="28"/>
      <c r="G86" s="28"/>
      <c r="H86" s="28"/>
      <c r="I86" s="77"/>
      <c r="J86" s="28"/>
      <c r="K86" s="77"/>
      <c r="L86" s="139"/>
      <c r="M86" s="81"/>
      <c r="N86" s="28"/>
      <c r="O86" s="77"/>
      <c r="P86" s="41"/>
      <c r="Q86" s="82"/>
      <c r="R86" s="102"/>
    </row>
    <row r="87" spans="2:19" ht="15" thickBot="1" x14ac:dyDescent="0.25">
      <c r="B87" s="77"/>
      <c r="C87" s="77"/>
      <c r="D87" s="28"/>
      <c r="E87" s="28"/>
      <c r="F87" s="28"/>
      <c r="G87" s="28"/>
      <c r="H87" s="28"/>
      <c r="I87" s="77"/>
      <c r="J87" s="28"/>
      <c r="K87" s="77"/>
      <c r="L87" s="139"/>
      <c r="M87" s="81"/>
      <c r="N87" s="28"/>
      <c r="O87" s="77"/>
      <c r="P87" s="41"/>
      <c r="Q87" s="82"/>
      <c r="R87" s="102"/>
    </row>
    <row r="88" spans="2:19" ht="15.75" x14ac:dyDescent="0.25">
      <c r="B88" s="96" t="s">
        <v>134</v>
      </c>
      <c r="C88" s="77"/>
      <c r="D88" s="39"/>
      <c r="E88" s="39"/>
      <c r="F88" s="39"/>
      <c r="G88" s="39"/>
      <c r="H88" s="39"/>
      <c r="I88" s="77"/>
      <c r="J88" s="160">
        <f>Daten!J7</f>
        <v>16688.595699999998</v>
      </c>
      <c r="K88" s="77"/>
      <c r="L88" s="139"/>
      <c r="M88" s="81"/>
      <c r="N88" s="61">
        <v>9950</v>
      </c>
      <c r="O88" s="77"/>
      <c r="P88" s="96" t="s">
        <v>52</v>
      </c>
      <c r="Q88" s="82"/>
      <c r="R88" s="102"/>
      <c r="S88" s="190"/>
    </row>
    <row r="89" spans="2:19" ht="15" x14ac:dyDescent="0.25">
      <c r="B89" s="87" t="s">
        <v>30</v>
      </c>
      <c r="C89" s="77"/>
      <c r="D89" s="40"/>
      <c r="E89" s="40"/>
      <c r="F89" s="40"/>
      <c r="G89" s="40"/>
      <c r="H89" s="40"/>
      <c r="I89" s="77"/>
      <c r="J89" s="161">
        <v>0</v>
      </c>
      <c r="K89" s="77"/>
      <c r="L89" s="139"/>
      <c r="M89" s="81"/>
      <c r="N89" s="114">
        <f>J89</f>
        <v>0</v>
      </c>
      <c r="O89" s="77"/>
      <c r="P89" s="87" t="s">
        <v>54</v>
      </c>
      <c r="Q89" s="82"/>
    </row>
    <row r="90" spans="2:19" ht="15" customHeight="1" x14ac:dyDescent="0.2">
      <c r="B90" s="264" t="s">
        <v>53</v>
      </c>
      <c r="C90" s="77"/>
      <c r="D90" s="40"/>
      <c r="E90" s="40"/>
      <c r="F90" s="40"/>
      <c r="G90" s="40"/>
      <c r="H90" s="40"/>
      <c r="I90" s="77"/>
      <c r="J90" s="113">
        <v>0.45</v>
      </c>
      <c r="K90" s="77"/>
      <c r="L90" s="139"/>
      <c r="M90" s="81"/>
      <c r="N90" s="143">
        <v>0.45</v>
      </c>
      <c r="O90" s="77"/>
      <c r="P90" s="112" t="s">
        <v>69</v>
      </c>
      <c r="Q90" s="82"/>
    </row>
    <row r="91" spans="2:19" ht="15.75" thickBot="1" x14ac:dyDescent="0.3">
      <c r="B91" s="265"/>
      <c r="C91" s="77"/>
      <c r="D91" s="39"/>
      <c r="E91" s="39"/>
      <c r="F91" s="39"/>
      <c r="G91" s="39"/>
      <c r="H91" s="39"/>
      <c r="I91" s="77"/>
      <c r="J91" s="62">
        <f>(J89+J88)*J90</f>
        <v>7509.8680649999997</v>
      </c>
      <c r="K91" s="77"/>
      <c r="L91" s="139"/>
      <c r="M91" s="81"/>
      <c r="N91" s="62">
        <f>N89*N90</f>
        <v>0</v>
      </c>
      <c r="O91" s="77"/>
      <c r="P91" s="83" t="s">
        <v>70</v>
      </c>
      <c r="Q91" s="82"/>
    </row>
    <row r="92" spans="2:19" ht="15.75" thickBot="1" x14ac:dyDescent="0.3">
      <c r="B92" s="95"/>
      <c r="C92" s="77"/>
      <c r="D92" s="39"/>
      <c r="E92" s="39"/>
      <c r="F92" s="39"/>
      <c r="G92" s="39"/>
      <c r="H92" s="39"/>
      <c r="I92" s="77"/>
      <c r="J92" s="39"/>
      <c r="K92" s="77"/>
      <c r="L92" s="139"/>
      <c r="M92" s="81"/>
      <c r="N92" s="39"/>
      <c r="O92" s="77"/>
      <c r="P92" s="95"/>
      <c r="Q92" s="82"/>
    </row>
    <row r="93" spans="2:19" ht="15.75" thickBot="1" x14ac:dyDescent="0.3">
      <c r="B93" s="19" t="s">
        <v>55</v>
      </c>
      <c r="C93" s="77"/>
      <c r="D93" s="39"/>
      <c r="E93" s="39"/>
      <c r="F93" s="39"/>
      <c r="G93" s="39"/>
      <c r="H93" s="39"/>
      <c r="I93" s="77"/>
      <c r="J93" s="115">
        <f>J88+J89-J91</f>
        <v>9178.7276349999993</v>
      </c>
      <c r="K93" s="77"/>
      <c r="L93" s="139"/>
      <c r="M93" s="81"/>
      <c r="N93" s="115">
        <f>N88+N89-N91</f>
        <v>9950</v>
      </c>
      <c r="O93" s="77"/>
      <c r="P93" s="19" t="s">
        <v>55</v>
      </c>
      <c r="Q93" s="82"/>
    </row>
    <row r="94" spans="2:19" ht="15.75" thickBot="1" x14ac:dyDescent="0.3">
      <c r="B94" s="100"/>
      <c r="C94" s="100"/>
      <c r="D94" s="142"/>
      <c r="E94" s="142"/>
      <c r="F94" s="142"/>
      <c r="G94" s="142"/>
      <c r="H94" s="142"/>
      <c r="I94" s="100"/>
      <c r="J94" s="142"/>
      <c r="K94" s="77"/>
      <c r="L94" s="139"/>
      <c r="M94" s="81"/>
      <c r="N94" s="142"/>
      <c r="O94" s="100"/>
      <c r="P94" s="100"/>
      <c r="Q94" s="82"/>
    </row>
    <row r="95" spans="2:19" ht="15.75" thickBot="1" x14ac:dyDescent="0.3">
      <c r="B95" s="95"/>
      <c r="C95" s="77"/>
      <c r="D95" s="39"/>
      <c r="E95" s="39"/>
      <c r="F95" s="39"/>
      <c r="G95" s="39"/>
      <c r="H95" s="39"/>
      <c r="I95" s="77"/>
      <c r="J95" s="39"/>
      <c r="K95" s="77"/>
      <c r="L95" s="139"/>
      <c r="M95" s="81"/>
      <c r="N95" s="39"/>
      <c r="O95" s="77"/>
      <c r="P95" s="95"/>
      <c r="Q95" s="82"/>
    </row>
    <row r="96" spans="2:19" ht="15" x14ac:dyDescent="0.25">
      <c r="B96" s="96" t="s">
        <v>31</v>
      </c>
      <c r="C96" s="77"/>
      <c r="D96" s="40"/>
      <c r="E96" s="40"/>
      <c r="F96" s="40"/>
      <c r="G96" s="40"/>
      <c r="H96" s="40"/>
      <c r="I96" s="77"/>
      <c r="J96" s="160">
        <v>0</v>
      </c>
      <c r="K96" s="77"/>
      <c r="L96" s="139"/>
      <c r="M96" s="81"/>
      <c r="N96" s="61">
        <f>J96</f>
        <v>0</v>
      </c>
      <c r="P96" s="96" t="s">
        <v>31</v>
      </c>
      <c r="Q96" s="91"/>
    </row>
    <row r="97" spans="2:28" ht="15" x14ac:dyDescent="0.25">
      <c r="B97" s="87" t="s">
        <v>72</v>
      </c>
      <c r="C97" s="77"/>
      <c r="D97" s="39"/>
      <c r="E97" s="39"/>
      <c r="F97" s="39"/>
      <c r="G97" s="39"/>
      <c r="H97" s="39"/>
      <c r="I97" s="77"/>
      <c r="J97" s="161">
        <v>1000</v>
      </c>
      <c r="K97" s="77"/>
      <c r="L97" s="139"/>
      <c r="M97" s="81"/>
      <c r="N97" s="150">
        <v>1000</v>
      </c>
      <c r="O97" s="77"/>
      <c r="P97" s="87" t="s">
        <v>72</v>
      </c>
      <c r="Q97" s="82"/>
    </row>
    <row r="98" spans="2:28" ht="14.25" customHeight="1" thickBot="1" x14ac:dyDescent="0.3">
      <c r="B98" s="83" t="s">
        <v>32</v>
      </c>
      <c r="C98" s="77"/>
      <c r="D98" s="39"/>
      <c r="E98" s="39"/>
      <c r="F98" s="39"/>
      <c r="G98" s="39"/>
      <c r="H98" s="39"/>
      <c r="I98" s="77"/>
      <c r="J98" s="162">
        <f>(J96+J97)*0.2</f>
        <v>200</v>
      </c>
      <c r="K98" s="77"/>
      <c r="L98" s="139"/>
      <c r="M98" s="81"/>
      <c r="N98" s="62">
        <f>(N97+N96)*0.2</f>
        <v>200</v>
      </c>
      <c r="O98" s="77"/>
      <c r="P98" s="83" t="s">
        <v>32</v>
      </c>
      <c r="Q98" s="82"/>
    </row>
    <row r="99" spans="2:28" ht="15" thickBot="1" x14ac:dyDescent="0.25">
      <c r="D99" s="91"/>
      <c r="E99" s="91"/>
      <c r="F99" s="91"/>
      <c r="G99" s="91"/>
      <c r="H99" s="91"/>
      <c r="L99" s="139"/>
      <c r="M99" s="90"/>
      <c r="P99" s="91"/>
      <c r="Q99" s="91"/>
    </row>
    <row r="100" spans="2:28" ht="15.75" thickBot="1" x14ac:dyDescent="0.3">
      <c r="B100" s="19" t="s">
        <v>55</v>
      </c>
      <c r="C100" s="77"/>
      <c r="D100" s="39"/>
      <c r="E100" s="39"/>
      <c r="F100" s="39"/>
      <c r="G100" s="39"/>
      <c r="H100" s="39"/>
      <c r="I100" s="77"/>
      <c r="J100" s="115">
        <f>J93+J96+J97-J98</f>
        <v>9978.7276349999993</v>
      </c>
      <c r="K100" s="77"/>
      <c r="L100" s="139"/>
      <c r="M100" s="81"/>
      <c r="N100" s="115">
        <f>N93+N96+N97-N98</f>
        <v>10750</v>
      </c>
      <c r="O100" s="77"/>
      <c r="P100" s="19" t="s">
        <v>55</v>
      </c>
      <c r="Q100" s="82"/>
    </row>
    <row r="101" spans="2:28" ht="15" thickBot="1" x14ac:dyDescent="0.25">
      <c r="B101" s="77"/>
      <c r="C101" s="77"/>
      <c r="D101" s="41"/>
      <c r="E101" s="41"/>
      <c r="F101" s="41"/>
      <c r="G101" s="41"/>
      <c r="H101" s="41"/>
      <c r="I101" s="77"/>
      <c r="J101" s="28"/>
      <c r="K101" s="77"/>
      <c r="L101" s="139"/>
      <c r="M101" s="81"/>
      <c r="N101" s="28"/>
      <c r="O101" s="77"/>
      <c r="P101" s="41"/>
      <c r="Q101" s="82"/>
    </row>
    <row r="102" spans="2:28" x14ac:dyDescent="0.2">
      <c r="B102" s="96" t="s">
        <v>0</v>
      </c>
      <c r="C102" s="77"/>
      <c r="D102" s="42"/>
      <c r="E102" s="42"/>
      <c r="F102" s="42"/>
      <c r="G102" s="42"/>
      <c r="H102" s="42"/>
      <c r="I102" s="77"/>
      <c r="J102" s="163">
        <v>25</v>
      </c>
      <c r="K102" s="77"/>
      <c r="L102" s="139"/>
      <c r="M102" s="81"/>
      <c r="N102" s="59">
        <f>J102</f>
        <v>25</v>
      </c>
      <c r="O102" s="77"/>
      <c r="P102" s="96" t="s">
        <v>0</v>
      </c>
      <c r="Q102" s="82"/>
    </row>
    <row r="103" spans="2:28" ht="15" thickBot="1" x14ac:dyDescent="0.25">
      <c r="B103" s="83" t="s">
        <v>1</v>
      </c>
      <c r="C103" s="77"/>
      <c r="D103" s="2"/>
      <c r="E103" s="2"/>
      <c r="F103" s="2"/>
      <c r="G103" s="2"/>
      <c r="H103" s="2"/>
      <c r="I103" s="77"/>
      <c r="J103" s="164">
        <v>0.02</v>
      </c>
      <c r="K103" s="77"/>
      <c r="L103" s="139"/>
      <c r="M103" s="81"/>
      <c r="N103" s="60">
        <f>J103</f>
        <v>0.02</v>
      </c>
      <c r="O103" s="77"/>
      <c r="P103" s="83" t="s">
        <v>1</v>
      </c>
      <c r="Q103" s="82"/>
    </row>
    <row r="104" spans="2:28" x14ac:dyDescent="0.2">
      <c r="B104" s="77"/>
      <c r="C104" s="77"/>
      <c r="D104" s="2"/>
      <c r="E104" s="2"/>
      <c r="F104" s="2"/>
      <c r="G104" s="2"/>
      <c r="H104" s="2"/>
      <c r="I104" s="77"/>
      <c r="J104" s="2"/>
      <c r="K104" s="77"/>
      <c r="L104" s="139"/>
      <c r="M104" s="81"/>
      <c r="N104" s="2"/>
      <c r="O104" s="77"/>
      <c r="P104" s="2"/>
      <c r="Q104" s="82"/>
    </row>
    <row r="105" spans="2:28" ht="15" x14ac:dyDescent="0.25">
      <c r="B105" s="144" t="s">
        <v>7</v>
      </c>
      <c r="C105" s="77"/>
      <c r="D105" s="43"/>
      <c r="E105" s="43"/>
      <c r="F105" s="43"/>
      <c r="G105" s="43"/>
      <c r="H105" s="43"/>
      <c r="I105" s="4"/>
      <c r="J105" s="145">
        <f>-PMT(J103,J102,J100,0)</f>
        <v>511.11480431247224</v>
      </c>
      <c r="K105" s="4"/>
      <c r="L105" s="139"/>
      <c r="M105" s="55"/>
      <c r="N105" s="66">
        <f>-PMT(N103,N102,N100,0)</f>
        <v>550.61971298699325</v>
      </c>
      <c r="O105" s="4"/>
      <c r="P105" s="151" t="s">
        <v>7</v>
      </c>
      <c r="Q105" s="49"/>
    </row>
    <row r="106" spans="2:28" ht="15" thickBot="1" x14ac:dyDescent="0.25">
      <c r="L106" s="139"/>
      <c r="M106" s="90"/>
      <c r="P106" s="91"/>
      <c r="Q106" s="91"/>
    </row>
    <row r="107" spans="2:28" ht="15" customHeight="1" x14ac:dyDescent="0.25">
      <c r="B107" s="250" t="s">
        <v>99</v>
      </c>
      <c r="C107" s="77"/>
      <c r="D107" s="42"/>
      <c r="E107" s="42"/>
      <c r="F107" s="42"/>
      <c r="G107" s="42"/>
      <c r="H107" s="42"/>
      <c r="I107" s="77"/>
      <c r="J107" s="145">
        <f>J105+J69+J56</f>
        <v>3732.6870957779815</v>
      </c>
      <c r="K107" s="77"/>
      <c r="L107" s="139"/>
      <c r="M107" s="81"/>
      <c r="N107" s="64">
        <f>N105+N69+N56</f>
        <v>3154.5763456400546</v>
      </c>
      <c r="O107" s="77"/>
      <c r="P107" s="248" t="s">
        <v>99</v>
      </c>
      <c r="Q107" s="82"/>
      <c r="R107" s="321" t="s">
        <v>101</v>
      </c>
      <c r="S107" s="322"/>
      <c r="T107" s="322"/>
      <c r="U107" s="322"/>
      <c r="V107" s="322"/>
      <c r="W107" s="322"/>
      <c r="X107" s="323"/>
      <c r="Y107" s="147"/>
      <c r="Z107" s="147"/>
      <c r="AA107" s="147"/>
      <c r="AB107" s="147"/>
    </row>
    <row r="108" spans="2:28" ht="15.75" thickBot="1" x14ac:dyDescent="0.3">
      <c r="B108" s="251"/>
      <c r="C108" s="77"/>
      <c r="D108" s="42"/>
      <c r="E108" s="42"/>
      <c r="F108" s="42"/>
      <c r="G108" s="42"/>
      <c r="H108" s="42"/>
      <c r="I108" s="6"/>
      <c r="J108" s="146">
        <f>J107/J54*100</f>
        <v>12.354368397497748</v>
      </c>
      <c r="K108" s="6"/>
      <c r="L108" s="140"/>
      <c r="M108" s="58"/>
      <c r="N108" s="65">
        <f>N107/N54*100</f>
        <v>10.440949726579358</v>
      </c>
      <c r="O108" s="6"/>
      <c r="P108" s="249"/>
      <c r="Q108" s="53"/>
      <c r="R108" s="324"/>
      <c r="S108" s="325"/>
      <c r="T108" s="325"/>
      <c r="U108" s="325"/>
      <c r="V108" s="325"/>
      <c r="W108" s="325"/>
      <c r="X108" s="326"/>
      <c r="Y108" s="147"/>
      <c r="Z108" s="147"/>
      <c r="AA108" s="147"/>
      <c r="AB108" s="147"/>
    </row>
    <row r="110" spans="2:28" ht="15.75" thickBot="1" x14ac:dyDescent="0.3">
      <c r="N110" s="181" t="s">
        <v>105</v>
      </c>
    </row>
    <row r="111" spans="2:28" x14ac:dyDescent="0.2">
      <c r="N111" s="182">
        <f>N27+N36</f>
        <v>2003.9566326530612</v>
      </c>
      <c r="P111" s="184" t="s">
        <v>80</v>
      </c>
    </row>
    <row r="112" spans="2:28" x14ac:dyDescent="0.2">
      <c r="N112" s="183">
        <f>N60</f>
        <v>600</v>
      </c>
      <c r="P112" s="185" t="s">
        <v>41</v>
      </c>
    </row>
    <row r="113" spans="4:24" ht="15" thickBot="1" x14ac:dyDescent="0.25">
      <c r="D113" s="101"/>
      <c r="E113" s="101"/>
      <c r="F113" s="101"/>
      <c r="G113" s="101"/>
      <c r="H113" s="101"/>
      <c r="J113" s="101"/>
      <c r="N113" s="186">
        <f>-PMT(N103,N102,N88)</f>
        <v>509.64336225307744</v>
      </c>
      <c r="P113" s="186" t="s">
        <v>91</v>
      </c>
      <c r="R113" s="194" t="s">
        <v>100</v>
      </c>
      <c r="S113" s="195"/>
      <c r="T113" s="195"/>
      <c r="U113" s="195"/>
      <c r="V113" s="195"/>
      <c r="W113" s="195"/>
      <c r="X113" s="196"/>
    </row>
    <row r="114" spans="4:24" ht="15.75" thickBot="1" x14ac:dyDescent="0.3">
      <c r="D114" s="103"/>
      <c r="E114" s="103"/>
      <c r="F114" s="103"/>
      <c r="G114" s="103"/>
      <c r="H114" s="103"/>
      <c r="N114" s="187">
        <f>N111+N112+N113</f>
        <v>3113.5999949061388</v>
      </c>
      <c r="P114" s="187" t="s">
        <v>81</v>
      </c>
    </row>
    <row r="115" spans="4:24" ht="15" thickBot="1" x14ac:dyDescent="0.25">
      <c r="D115" s="101"/>
      <c r="E115" s="101"/>
      <c r="F115" s="101"/>
      <c r="G115" s="101"/>
      <c r="H115" s="101"/>
    </row>
    <row r="116" spans="4:24" ht="15.75" thickBot="1" x14ac:dyDescent="0.3">
      <c r="D116" s="101"/>
      <c r="E116" s="101"/>
      <c r="F116" s="101"/>
      <c r="G116" s="101"/>
      <c r="H116" s="101"/>
      <c r="N116" s="187">
        <f>N50</f>
        <v>0</v>
      </c>
      <c r="P116" s="192" t="s">
        <v>92</v>
      </c>
    </row>
    <row r="117" spans="4:24" ht="15" thickBot="1" x14ac:dyDescent="0.25">
      <c r="D117" s="101"/>
      <c r="E117" s="101"/>
      <c r="F117" s="101"/>
      <c r="G117" s="101"/>
      <c r="H117" s="101"/>
    </row>
    <row r="118" spans="4:24" x14ac:dyDescent="0.2">
      <c r="N118" s="182">
        <f>-PMT(N103,N102,N89-N91)</f>
        <v>0</v>
      </c>
      <c r="P118" s="184" t="s">
        <v>54</v>
      </c>
    </row>
    <row r="119" spans="4:24" ht="15" thickBot="1" x14ac:dyDescent="0.25">
      <c r="N119" s="186">
        <f>-PMT(N103,N102,N97-N98)</f>
        <v>40.97635073391578</v>
      </c>
      <c r="P119" s="186" t="s">
        <v>31</v>
      </c>
    </row>
    <row r="120" spans="4:24" ht="15.75" thickBot="1" x14ac:dyDescent="0.3">
      <c r="N120" s="187">
        <f>N119+N118</f>
        <v>40.97635073391578</v>
      </c>
      <c r="P120" s="187" t="s">
        <v>90</v>
      </c>
      <c r="R120" s="327" t="s">
        <v>102</v>
      </c>
      <c r="S120" s="327"/>
      <c r="T120" s="327"/>
      <c r="U120" s="327"/>
      <c r="V120" s="327"/>
      <c r="W120" s="327"/>
      <c r="X120" s="327"/>
    </row>
    <row r="122" spans="4:24" x14ac:dyDescent="0.2">
      <c r="N122" s="101"/>
    </row>
    <row r="124" spans="4:24" x14ac:dyDescent="0.2">
      <c r="N124" s="101"/>
    </row>
  </sheetData>
  <mergeCells count="55">
    <mergeCell ref="H10:H57"/>
    <mergeCell ref="H72:H80"/>
    <mergeCell ref="B65:B66"/>
    <mergeCell ref="R31:X34"/>
    <mergeCell ref="R21:U23"/>
    <mergeCell ref="B31:B32"/>
    <mergeCell ref="D38:F38"/>
    <mergeCell ref="D56:F56"/>
    <mergeCell ref="D57:F57"/>
    <mergeCell ref="D54:F54"/>
    <mergeCell ref="R107:X108"/>
    <mergeCell ref="R120:X120"/>
    <mergeCell ref="R12:X12"/>
    <mergeCell ref="R72:X73"/>
    <mergeCell ref="R17:X19"/>
    <mergeCell ref="V29:X29"/>
    <mergeCell ref="R60:X60"/>
    <mergeCell ref="R61:X61"/>
    <mergeCell ref="R62:X62"/>
    <mergeCell ref="R29:U29"/>
    <mergeCell ref="R28:U28"/>
    <mergeCell ref="R27:U27"/>
    <mergeCell ref="AC14:AE14"/>
    <mergeCell ref="L6:L7"/>
    <mergeCell ref="N6:P6"/>
    <mergeCell ref="B2:P3"/>
    <mergeCell ref="P56:P57"/>
    <mergeCell ref="L10:L57"/>
    <mergeCell ref="P28:P29"/>
    <mergeCell ref="N28:N29"/>
    <mergeCell ref="B56:B57"/>
    <mergeCell ref="R36:U38"/>
    <mergeCell ref="R46:U48"/>
    <mergeCell ref="R50:X51"/>
    <mergeCell ref="D10:F10"/>
    <mergeCell ref="D12:F12"/>
    <mergeCell ref="D13:F13"/>
    <mergeCell ref="H6:H7"/>
    <mergeCell ref="AC37:AD37"/>
    <mergeCell ref="AC38:AD38"/>
    <mergeCell ref="N85:P85"/>
    <mergeCell ref="R42:U44"/>
    <mergeCell ref="P60:P62"/>
    <mergeCell ref="P72:P73"/>
    <mergeCell ref="P107:P108"/>
    <mergeCell ref="B72:B73"/>
    <mergeCell ref="B107:B108"/>
    <mergeCell ref="N60:N62"/>
    <mergeCell ref="L72:L80"/>
    <mergeCell ref="D62:F62"/>
    <mergeCell ref="D69:F69"/>
    <mergeCell ref="B90:B91"/>
    <mergeCell ref="B85:J85"/>
    <mergeCell ref="D72:F72"/>
    <mergeCell ref="D73:F73"/>
  </mergeCells>
  <dataValidations count="1">
    <dataValidation type="list" allowBlank="1" showInputMessage="1" showErrorMessage="1" sqref="D7:E7" xr:uid="{252D6AE3-3810-405B-B181-D6E1D580570D}">
      <formula1>$AD$10:$AD$11</formula1>
    </dataValidation>
  </dataValidations>
  <hyperlinks>
    <hyperlink ref="R29" r:id="rId1" xr:uid="{7182038F-6BB1-4EDC-B2C2-41771AC36EC5}"/>
    <hyperlink ref="R28" r:id="rId2" xr:uid="{2A2B3736-CB33-49AC-A4BA-FB07B1650EFD}"/>
  </hyperlinks>
  <pageMargins left="0.7" right="0.7" top="0.78740157499999996" bottom="0.78740157499999996"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I18" sqref="I18"/>
    </sheetView>
  </sheetViews>
  <sheetFormatPr baseColWidth="10" defaultRowHeight="15" x14ac:dyDescent="0.25"/>
  <cols>
    <col min="1" max="1" width="55.5703125" bestFit="1" customWidth="1"/>
    <col min="2" max="8" width="11.85546875" bestFit="1" customWidth="1"/>
    <col min="10" max="10" width="14.85546875" bestFit="1" customWidth="1"/>
  </cols>
  <sheetData>
    <row r="1" spans="1:16" x14ac:dyDescent="0.25">
      <c r="A1" s="8"/>
      <c r="B1" s="8"/>
      <c r="C1" s="8"/>
      <c r="D1" s="8"/>
      <c r="E1" s="8"/>
      <c r="F1" s="8"/>
      <c r="G1" s="8"/>
      <c r="H1" s="8"/>
    </row>
    <row r="2" spans="1:16" ht="15.75" thickBot="1" x14ac:dyDescent="0.3">
      <c r="A2" s="5" t="s">
        <v>126</v>
      </c>
      <c r="B2" s="8"/>
      <c r="C2" s="8"/>
      <c r="D2" s="8"/>
      <c r="E2" s="8"/>
      <c r="F2" s="8"/>
      <c r="G2" s="8"/>
      <c r="H2" s="8"/>
      <c r="J2" t="s">
        <v>78</v>
      </c>
      <c r="L2" s="180" t="s">
        <v>79</v>
      </c>
    </row>
    <row r="3" spans="1:16" s="1" customFormat="1" x14ac:dyDescent="0.25">
      <c r="A3" s="166" t="s">
        <v>10</v>
      </c>
      <c r="B3" s="167">
        <v>8</v>
      </c>
      <c r="C3" s="167">
        <v>12</v>
      </c>
      <c r="D3" s="167">
        <v>16</v>
      </c>
      <c r="E3" s="167">
        <v>19</v>
      </c>
      <c r="F3" s="167">
        <v>23</v>
      </c>
      <c r="G3" s="167">
        <v>25</v>
      </c>
      <c r="H3" s="168">
        <v>38</v>
      </c>
      <c r="J3" s="179">
        <f>IF($L$3&lt;=$B$3,B3,IF($L$3&lt;=$C$3,C3,IF($L$3&lt;=$D$3,D3,IF($L$3&lt;=$E$3,E3,IF($L$3&lt;=$F$3,F3,IF($L$3&lt;=$G$3,G3,H3))))))</f>
        <v>16</v>
      </c>
      <c r="L3" s="197">
        <f>Ergebnis!D12</f>
        <v>14.25</v>
      </c>
    </row>
    <row r="4" spans="1:16" s="1" customFormat="1" x14ac:dyDescent="0.25">
      <c r="A4" s="350" t="s">
        <v>75</v>
      </c>
      <c r="B4" s="169">
        <f>SUM(B9:B12,B13)*B5</f>
        <v>292.05042474999999</v>
      </c>
      <c r="C4" s="169">
        <f t="shared" ref="C4:H4" si="0">SUM(C9:C12,C13)*C5</f>
        <v>292.05042474999999</v>
      </c>
      <c r="D4" s="169">
        <f t="shared" si="0"/>
        <v>292.05042474999999</v>
      </c>
      <c r="E4" s="169">
        <f t="shared" si="0"/>
        <v>292.05042474999999</v>
      </c>
      <c r="F4" s="169">
        <f t="shared" si="0"/>
        <v>300.04805775</v>
      </c>
      <c r="G4" s="169">
        <f t="shared" si="0"/>
        <v>297.73273424999996</v>
      </c>
      <c r="H4" s="170">
        <f t="shared" si="0"/>
        <v>349.22504575000005</v>
      </c>
      <c r="J4" s="198">
        <f t="shared" ref="J4:J8" si="1">IF($L$3&lt;=$B$3,B4,IF($L$3&lt;=$C$3,C4,IF($L$3&lt;=$D$3,D4,IF($L$3&lt;=$E$3,E4,IF($L$3&lt;=$F$3,F4,IF($L$3&lt;=$G$3,G4,H4))))))</f>
        <v>292.05042474999999</v>
      </c>
    </row>
    <row r="5" spans="1:16" s="1" customFormat="1" x14ac:dyDescent="0.25">
      <c r="A5" s="350"/>
      <c r="B5" s="171">
        <v>1.7500000000000002E-2</v>
      </c>
      <c r="C5" s="171">
        <v>1.7500000000000002E-2</v>
      </c>
      <c r="D5" s="171">
        <v>1.7500000000000002E-2</v>
      </c>
      <c r="E5" s="171">
        <v>1.7500000000000002E-2</v>
      </c>
      <c r="F5" s="171">
        <v>1.7500000000000002E-2</v>
      </c>
      <c r="G5" s="171">
        <v>1.7500000000000002E-2</v>
      </c>
      <c r="H5" s="172">
        <v>1.7500000000000002E-2</v>
      </c>
      <c r="J5" s="199">
        <f t="shared" si="1"/>
        <v>1.7500000000000002E-2</v>
      </c>
    </row>
    <row r="6" spans="1:16" s="1" customFormat="1" x14ac:dyDescent="0.25">
      <c r="A6" s="173" t="s">
        <v>76</v>
      </c>
      <c r="B6" s="169">
        <v>183.5932</v>
      </c>
      <c r="C6" s="169">
        <v>183.5932</v>
      </c>
      <c r="D6" s="169">
        <v>183.5932</v>
      </c>
      <c r="E6" s="169">
        <v>183.5932</v>
      </c>
      <c r="F6" s="169">
        <v>183.5932</v>
      </c>
      <c r="G6" s="169">
        <v>183.5932</v>
      </c>
      <c r="H6" s="170">
        <v>228.42287999999999</v>
      </c>
      <c r="J6" s="198">
        <f t="shared" si="1"/>
        <v>183.5932</v>
      </c>
    </row>
    <row r="7" spans="1:16" s="1" customFormat="1" x14ac:dyDescent="0.25">
      <c r="A7" s="350" t="s">
        <v>77</v>
      </c>
      <c r="B7" s="174">
        <f t="shared" ref="B7:H7" si="2">SUM(B9:B13)</f>
        <v>16688.595699999998</v>
      </c>
      <c r="C7" s="174">
        <f t="shared" si="2"/>
        <v>16688.595699999998</v>
      </c>
      <c r="D7" s="174">
        <f t="shared" si="2"/>
        <v>16688.595699999998</v>
      </c>
      <c r="E7" s="174">
        <f t="shared" si="2"/>
        <v>16688.595699999998</v>
      </c>
      <c r="F7" s="174">
        <f t="shared" si="2"/>
        <v>17145.603299999999</v>
      </c>
      <c r="G7" s="174">
        <f t="shared" si="2"/>
        <v>17013.299099999997</v>
      </c>
      <c r="H7" s="175">
        <f t="shared" si="2"/>
        <v>19955.716899999999</v>
      </c>
      <c r="J7" s="200">
        <f t="shared" si="1"/>
        <v>16688.595699999998</v>
      </c>
    </row>
    <row r="8" spans="1:16" s="1" customFormat="1" ht="15.75" thickBot="1" x14ac:dyDescent="0.3">
      <c r="A8" s="351"/>
      <c r="B8" s="176">
        <f>B7/B3</f>
        <v>2086.0744624999998</v>
      </c>
      <c r="C8" s="176">
        <f t="shared" ref="C8:H8" si="3">C7/C3</f>
        <v>1390.7163083333332</v>
      </c>
      <c r="D8" s="176">
        <f t="shared" si="3"/>
        <v>1043.0372312499999</v>
      </c>
      <c r="E8" s="176">
        <f t="shared" si="3"/>
        <v>878.34714210526306</v>
      </c>
      <c r="F8" s="176">
        <f t="shared" si="3"/>
        <v>745.46101304347826</v>
      </c>
      <c r="G8" s="176">
        <f t="shared" si="3"/>
        <v>680.5319639999999</v>
      </c>
      <c r="H8" s="177">
        <f t="shared" si="3"/>
        <v>525.15044473684213</v>
      </c>
      <c r="J8" s="201">
        <f t="shared" si="1"/>
        <v>1043.0372312499999</v>
      </c>
    </row>
    <row r="9" spans="1:16" x14ac:dyDescent="0.25">
      <c r="A9" s="9" t="s">
        <v>127</v>
      </c>
      <c r="B9" s="10">
        <v>11232.517099999999</v>
      </c>
      <c r="C9" s="10">
        <v>11232.517099999999</v>
      </c>
      <c r="D9" s="10">
        <v>11232.517099999999</v>
      </c>
      <c r="E9" s="10">
        <v>11232.517099999999</v>
      </c>
      <c r="F9" s="10">
        <v>11505.027099999998</v>
      </c>
      <c r="G9" s="10">
        <v>11505.027099999998</v>
      </c>
      <c r="H9" s="15">
        <v>12849.370100000002</v>
      </c>
      <c r="J9" s="165"/>
      <c r="K9" s="165"/>
      <c r="L9" s="165"/>
      <c r="M9" s="165"/>
      <c r="N9" s="165"/>
      <c r="O9" s="165"/>
      <c r="P9" s="165"/>
    </row>
    <row r="10" spans="1:16" x14ac:dyDescent="0.25">
      <c r="A10" s="9" t="s">
        <v>128</v>
      </c>
      <c r="B10" s="10">
        <v>498.80040000000002</v>
      </c>
      <c r="C10" s="10">
        <v>498.80040000000002</v>
      </c>
      <c r="D10" s="10">
        <v>498.80040000000002</v>
      </c>
      <c r="E10" s="10">
        <v>498.80040000000002</v>
      </c>
      <c r="F10" s="10">
        <v>498.80040000000002</v>
      </c>
      <c r="G10" s="10">
        <v>498.80040000000002</v>
      </c>
      <c r="H10" s="15">
        <v>598.7604</v>
      </c>
      <c r="J10" s="165"/>
      <c r="K10" s="165"/>
      <c r="L10" s="165"/>
      <c r="M10" s="165"/>
      <c r="N10" s="165"/>
      <c r="O10" s="165"/>
      <c r="P10" s="165"/>
    </row>
    <row r="11" spans="1:16" x14ac:dyDescent="0.25">
      <c r="A11" s="9" t="s">
        <v>8</v>
      </c>
      <c r="B11" s="10">
        <v>160.04310000000001</v>
      </c>
      <c r="C11" s="10">
        <v>160.04310000000001</v>
      </c>
      <c r="D11" s="10">
        <v>160.04310000000001</v>
      </c>
      <c r="E11" s="10">
        <v>160.04310000000001</v>
      </c>
      <c r="F11" s="10">
        <v>160.04310000000001</v>
      </c>
      <c r="G11" s="10">
        <v>160.04310000000001</v>
      </c>
      <c r="H11" s="15">
        <v>180.88</v>
      </c>
      <c r="J11" s="165"/>
      <c r="K11" s="165"/>
      <c r="L11" s="165"/>
      <c r="M11" s="165"/>
      <c r="N11" s="165"/>
      <c r="O11" s="165"/>
      <c r="P11" s="165"/>
    </row>
    <row r="12" spans="1:16" x14ac:dyDescent="0.25">
      <c r="A12" s="9" t="s">
        <v>129</v>
      </c>
      <c r="B12" s="10">
        <v>1879.3074999999999</v>
      </c>
      <c r="C12" s="10">
        <v>1879.3074999999999</v>
      </c>
      <c r="D12" s="10">
        <v>1879.3074999999999</v>
      </c>
      <c r="E12" s="10">
        <v>1879.3074999999999</v>
      </c>
      <c r="F12" s="10">
        <v>2009.4101999999998</v>
      </c>
      <c r="G12" s="10">
        <v>1879.3074999999999</v>
      </c>
      <c r="H12" s="15">
        <v>2686.6153999999997</v>
      </c>
      <c r="J12" s="165"/>
      <c r="K12" s="165"/>
      <c r="L12" s="165"/>
      <c r="M12" s="165"/>
      <c r="N12" s="165"/>
      <c r="O12" s="165"/>
      <c r="P12" s="165"/>
    </row>
    <row r="13" spans="1:16" ht="15.75" thickBot="1" x14ac:dyDescent="0.3">
      <c r="A13" s="11" t="s">
        <v>9</v>
      </c>
      <c r="B13" s="12">
        <v>2917.9276</v>
      </c>
      <c r="C13" s="12">
        <v>2917.9276</v>
      </c>
      <c r="D13" s="12">
        <v>2917.9276</v>
      </c>
      <c r="E13" s="12">
        <v>2917.9276</v>
      </c>
      <c r="F13" s="12">
        <v>2972.3224999999998</v>
      </c>
      <c r="G13" s="12">
        <v>2970.1210000000001</v>
      </c>
      <c r="H13" s="16">
        <v>3640.0909999999999</v>
      </c>
      <c r="J13" s="165"/>
      <c r="K13" s="165"/>
      <c r="L13" s="165"/>
      <c r="M13" s="165"/>
      <c r="N13" s="165"/>
      <c r="O13" s="165"/>
      <c r="P13" s="165"/>
    </row>
    <row r="14" spans="1:16" x14ac:dyDescent="0.25">
      <c r="A14" s="13"/>
      <c r="B14" s="14"/>
      <c r="C14" s="14"/>
      <c r="D14" s="14"/>
      <c r="E14" s="14"/>
      <c r="F14" s="14"/>
      <c r="G14" s="14"/>
      <c r="H14" s="14"/>
    </row>
    <row r="15" spans="1:16" s="1" customFormat="1" x14ac:dyDescent="0.25">
      <c r="A15" s="5" t="s">
        <v>73</v>
      </c>
    </row>
    <row r="16" spans="1:16" s="1" customFormat="1" x14ac:dyDescent="0.25">
      <c r="A16" s="202" t="s">
        <v>11</v>
      </c>
      <c r="B16" s="352" t="s">
        <v>106</v>
      </c>
      <c r="C16" s="353"/>
      <c r="D16" s="353"/>
      <c r="E16" s="353"/>
      <c r="F16" s="353"/>
      <c r="G16" s="353"/>
      <c r="H16" s="354"/>
    </row>
    <row r="17" spans="1:8" s="1" customFormat="1" x14ac:dyDescent="0.25">
      <c r="A17" s="202" t="s">
        <v>21</v>
      </c>
      <c r="B17" s="355"/>
      <c r="C17" s="356"/>
      <c r="D17" s="356"/>
      <c r="E17" s="356"/>
      <c r="F17" s="356"/>
      <c r="G17" s="356"/>
      <c r="H17" s="357"/>
    </row>
    <row r="18" spans="1:8" s="1" customFormat="1" x14ac:dyDescent="0.25">
      <c r="A18" s="202" t="s">
        <v>74</v>
      </c>
      <c r="B18" s="355"/>
      <c r="C18" s="356"/>
      <c r="D18" s="356"/>
      <c r="E18" s="356"/>
      <c r="F18" s="356"/>
      <c r="G18" s="356"/>
      <c r="H18" s="357"/>
    </row>
    <row r="19" spans="1:8" s="1" customFormat="1" x14ac:dyDescent="0.25">
      <c r="A19" s="202" t="s">
        <v>22</v>
      </c>
      <c r="B19" s="355"/>
      <c r="C19" s="356"/>
      <c r="D19" s="356"/>
      <c r="E19" s="356"/>
      <c r="F19" s="356"/>
      <c r="G19" s="356"/>
      <c r="H19" s="357"/>
    </row>
    <row r="20" spans="1:8" s="1" customFormat="1" x14ac:dyDescent="0.25">
      <c r="A20" s="202" t="s">
        <v>12</v>
      </c>
      <c r="B20" s="355"/>
      <c r="C20" s="356"/>
      <c r="D20" s="356"/>
      <c r="E20" s="356"/>
      <c r="F20" s="356"/>
      <c r="G20" s="356"/>
      <c r="H20" s="357"/>
    </row>
    <row r="21" spans="1:8" s="1" customFormat="1" x14ac:dyDescent="0.25">
      <c r="A21" s="202" t="s">
        <v>13</v>
      </c>
      <c r="B21" s="355"/>
      <c r="C21" s="356"/>
      <c r="D21" s="356"/>
      <c r="E21" s="356"/>
      <c r="F21" s="356"/>
      <c r="G21" s="356"/>
      <c r="H21" s="357"/>
    </row>
    <row r="22" spans="1:8" s="1" customFormat="1" x14ac:dyDescent="0.25">
      <c r="A22" s="202" t="s">
        <v>14</v>
      </c>
      <c r="B22" s="355"/>
      <c r="C22" s="356"/>
      <c r="D22" s="356"/>
      <c r="E22" s="356"/>
      <c r="F22" s="356"/>
      <c r="G22" s="356"/>
      <c r="H22" s="357"/>
    </row>
    <row r="23" spans="1:8" s="1" customFormat="1" x14ac:dyDescent="0.25">
      <c r="A23" s="202" t="s">
        <v>15</v>
      </c>
      <c r="B23" s="355"/>
      <c r="C23" s="356"/>
      <c r="D23" s="356"/>
      <c r="E23" s="356"/>
      <c r="F23" s="356"/>
      <c r="G23" s="356"/>
      <c r="H23" s="357"/>
    </row>
    <row r="24" spans="1:8" s="1" customFormat="1" x14ac:dyDescent="0.25">
      <c r="A24" s="202" t="s">
        <v>16</v>
      </c>
      <c r="B24" s="355"/>
      <c r="C24" s="356"/>
      <c r="D24" s="356"/>
      <c r="E24" s="356"/>
      <c r="F24" s="356"/>
      <c r="G24" s="356"/>
      <c r="H24" s="357"/>
    </row>
    <row r="25" spans="1:8" s="1" customFormat="1" x14ac:dyDescent="0.25">
      <c r="A25" s="202" t="s">
        <v>17</v>
      </c>
      <c r="B25" s="355"/>
      <c r="C25" s="356"/>
      <c r="D25" s="356"/>
      <c r="E25" s="356"/>
      <c r="F25" s="356"/>
      <c r="G25" s="356"/>
      <c r="H25" s="357"/>
    </row>
    <row r="26" spans="1:8" s="1" customFormat="1" x14ac:dyDescent="0.25">
      <c r="A26" s="202" t="s">
        <v>18</v>
      </c>
      <c r="B26" s="355"/>
      <c r="C26" s="356"/>
      <c r="D26" s="356"/>
      <c r="E26" s="356"/>
      <c r="F26" s="356"/>
      <c r="G26" s="356"/>
      <c r="H26" s="357"/>
    </row>
    <row r="27" spans="1:8" s="1" customFormat="1" x14ac:dyDescent="0.25">
      <c r="A27" s="202" t="s">
        <v>19</v>
      </c>
      <c r="B27" s="358"/>
      <c r="C27" s="359"/>
      <c r="D27" s="359"/>
      <c r="E27" s="359"/>
      <c r="F27" s="359"/>
      <c r="G27" s="359"/>
      <c r="H27" s="360"/>
    </row>
    <row r="28" spans="1:8" s="1" customFormat="1" ht="15.75" thickBot="1" x14ac:dyDescent="0.3"/>
    <row r="29" spans="1:8" s="1" customFormat="1" ht="15.75" thickBot="1" x14ac:dyDescent="0.3">
      <c r="A29" s="178" t="s">
        <v>20</v>
      </c>
      <c r="B29" s="193">
        <f>B7</f>
        <v>16688.595699999998</v>
      </c>
      <c r="C29" s="193">
        <f t="shared" ref="C29:H29" si="4">C7</f>
        <v>16688.595699999998</v>
      </c>
      <c r="D29" s="193">
        <f t="shared" si="4"/>
        <v>16688.595699999998</v>
      </c>
      <c r="E29" s="193">
        <f t="shared" si="4"/>
        <v>16688.595699999998</v>
      </c>
      <c r="F29" s="193">
        <f t="shared" si="4"/>
        <v>17145.603299999999</v>
      </c>
      <c r="G29" s="193">
        <f t="shared" si="4"/>
        <v>17013.299099999997</v>
      </c>
      <c r="H29" s="193">
        <f t="shared" si="4"/>
        <v>19955.716899999999</v>
      </c>
    </row>
  </sheetData>
  <mergeCells count="3">
    <mergeCell ref="A4:A5"/>
    <mergeCell ref="A7:A8"/>
    <mergeCell ref="B16:H27"/>
  </mergeCells>
  <phoneticPr fontId="16"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Ergebnis</vt:lpstr>
      <vt:lpstr>Daten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Ap-Wärme</dc:creator>
  <cp:lastModifiedBy>Hubert Daubmeier</cp:lastModifiedBy>
  <dcterms:created xsi:type="dcterms:W3CDTF">2014-08-19T13:12:21Z</dcterms:created>
  <dcterms:modified xsi:type="dcterms:W3CDTF">2021-08-05T13:11:17Z</dcterms:modified>
</cp:coreProperties>
</file>