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https://d.docs.live.net/364d8bd3b43466be/Nahwärme Joshofen/5.8.2021/"/>
    </mc:Choice>
  </mc:AlternateContent>
  <xr:revisionPtr revIDLastSave="0" documentId="8_{A2A26F4B-6914-4F19-8044-899D8D9D6F44}" xr6:coauthVersionLast="47" xr6:coauthVersionMax="47" xr10:uidLastSave="{00000000-0000-0000-0000-000000000000}"/>
  <bookViews>
    <workbookView xWindow="-28920" yWindow="-120" windowWidth="29040" windowHeight="17640" xr2:uid="{00000000-000D-0000-FFFF-FFFF00000000}"/>
  </bookViews>
  <sheets>
    <sheet name="Ergebnis" sheetId="5" r:id="rId1"/>
    <sheet name="Daten"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0" i="5" l="1"/>
  <c r="J31" i="5" l="1"/>
  <c r="J27" i="5" s="1"/>
  <c r="C29" i="3"/>
  <c r="D29" i="3"/>
  <c r="E29" i="3"/>
  <c r="F29" i="3"/>
  <c r="G29" i="3"/>
  <c r="H29" i="3"/>
  <c r="B29" i="3"/>
  <c r="B4" i="3"/>
  <c r="B7" i="3"/>
  <c r="F82" i="5"/>
  <c r="E43" i="5"/>
  <c r="J32" i="5"/>
  <c r="F32" i="5" l="1"/>
  <c r="D33" i="5"/>
  <c r="F35" i="5"/>
  <c r="J35" i="5" s="1"/>
  <c r="F31" i="5"/>
  <c r="J80" i="5"/>
  <c r="J82" i="5" s="1"/>
  <c r="J73" i="5"/>
  <c r="J87" i="5"/>
  <c r="J86" i="5"/>
  <c r="F51" i="5"/>
  <c r="F23" i="5"/>
  <c r="F22" i="5"/>
  <c r="F10" i="5"/>
  <c r="J10" i="5" s="1"/>
  <c r="F13" i="5"/>
  <c r="J13" i="5" s="1"/>
  <c r="F17" i="5"/>
  <c r="Z20" i="5"/>
  <c r="D21" i="5"/>
  <c r="D12" i="5"/>
  <c r="J103" i="5" l="1"/>
  <c r="J97" i="5"/>
  <c r="D36" i="5"/>
  <c r="D37" i="5" s="1"/>
  <c r="F12" i="5"/>
  <c r="J12" i="5" s="1"/>
  <c r="J49" i="5" s="1"/>
  <c r="J96" i="5" s="1"/>
  <c r="J61" i="5" s="1"/>
  <c r="L3" i="3"/>
  <c r="J33" i="5"/>
  <c r="F33" i="5"/>
  <c r="J75" i="5"/>
  <c r="J77" i="5" s="1"/>
  <c r="J84" i="5" s="1"/>
  <c r="J89" i="5" s="1"/>
  <c r="Z16" i="5"/>
  <c r="D17" i="5" s="1"/>
  <c r="Z17" i="5"/>
  <c r="J102" i="5" l="1"/>
  <c r="J104" i="5" s="1"/>
  <c r="J3" i="3"/>
  <c r="J5" i="3"/>
  <c r="J7" i="3"/>
  <c r="F72" i="5" s="1"/>
  <c r="J4" i="3"/>
  <c r="D50" i="5" s="1"/>
  <c r="J6" i="3"/>
  <c r="D49" i="5" s="1"/>
  <c r="F49" i="5" s="1"/>
  <c r="J8" i="3"/>
  <c r="F36" i="5"/>
  <c r="J36" i="5" s="1"/>
  <c r="J37" i="5" s="1"/>
  <c r="D39" i="5"/>
  <c r="F40" i="5"/>
  <c r="F37" i="5"/>
  <c r="F39" i="5" l="1"/>
  <c r="J40" i="5"/>
  <c r="J39" i="5" s="1"/>
  <c r="J100" i="5" s="1"/>
  <c r="J64" i="5" s="1"/>
  <c r="D18" i="5"/>
  <c r="C5" i="3"/>
  <c r="D5" i="3" s="1"/>
  <c r="E5" i="3" s="1"/>
  <c r="F5" i="3" s="1"/>
  <c r="G5" i="3" s="1"/>
  <c r="H5" i="3" s="1"/>
  <c r="F50" i="5"/>
  <c r="C7" i="3"/>
  <c r="F77" i="5" s="1"/>
  <c r="F84" i="5" s="1"/>
  <c r="F89" i="5" s="1"/>
  <c r="D7" i="3"/>
  <c r="E7" i="3"/>
  <c r="F7" i="3"/>
  <c r="G7" i="3"/>
  <c r="H7" i="3"/>
  <c r="F8" i="3" l="1"/>
  <c r="F18" i="5"/>
  <c r="D19" i="5"/>
  <c r="D43" i="5" s="1"/>
  <c r="D53" i="5"/>
  <c r="E8" i="3"/>
  <c r="D8" i="3"/>
  <c r="C8" i="3"/>
  <c r="H8" i="3"/>
  <c r="B8" i="3"/>
  <c r="G8" i="3"/>
  <c r="D26" i="5" l="1"/>
  <c r="D25" i="5" s="1"/>
  <c r="F19" i="5"/>
  <c r="F43" i="5" s="1"/>
  <c r="J43" i="5" s="1"/>
  <c r="J53" i="5"/>
  <c r="F53" i="5"/>
  <c r="D45" i="5" l="1"/>
  <c r="D46" i="5" s="1"/>
  <c r="J19" i="5"/>
  <c r="J26" i="5" s="1"/>
  <c r="J25" i="5" s="1"/>
  <c r="F26" i="5"/>
  <c r="F25" i="5" s="1"/>
  <c r="F15" i="5"/>
  <c r="F21" i="5" s="1"/>
  <c r="D56" i="5" l="1"/>
  <c r="D57" i="5" s="1"/>
  <c r="J15" i="5"/>
  <c r="J21" i="5" s="1"/>
  <c r="F45" i="5"/>
  <c r="F46" i="5" s="1"/>
  <c r="J45" i="5" l="1"/>
  <c r="J95" i="5"/>
  <c r="F91" i="5"/>
  <c r="F92" i="5" s="1"/>
  <c r="F56" i="5"/>
  <c r="F57" i="5" s="1"/>
  <c r="C4" i="3"/>
  <c r="H4" i="3"/>
  <c r="D4" i="3"/>
  <c r="G4" i="3"/>
  <c r="E4" i="3"/>
  <c r="F4" i="3"/>
  <c r="J98" i="5" l="1"/>
  <c r="J60" i="5"/>
  <c r="J62" i="5" s="1"/>
  <c r="J46" i="5"/>
  <c r="J56" i="5"/>
  <c r="J57" i="5" s="1"/>
  <c r="J91" i="5"/>
  <c r="J92" i="5" l="1"/>
</calcChain>
</file>

<file path=xl/sharedStrings.xml><?xml version="1.0" encoding="utf-8"?>
<sst xmlns="http://schemas.openxmlformats.org/spreadsheetml/2006/main" count="165" uniqueCount="125">
  <si>
    <t>Nutzungsdauer</t>
  </si>
  <si>
    <t>Zinssatz (kalkulatorisch)</t>
  </si>
  <si>
    <t>zu beheizende Fläche</t>
  </si>
  <si>
    <t>Brennwert</t>
  </si>
  <si>
    <t>Betriebsgebundene Kosten</t>
  </si>
  <si>
    <t>Verbrauchsgebundene Kosten</t>
  </si>
  <si>
    <t>#</t>
  </si>
  <si>
    <t>Kapitalgebundene Kosten</t>
  </si>
  <si>
    <t>• Wärmeerzeugungsanlage</t>
  </si>
  <si>
    <t>• Wasseraufbereitung</t>
  </si>
  <si>
    <t>• Brenner</t>
  </si>
  <si>
    <t>• Pauschalen</t>
  </si>
  <si>
    <t>Gebäudeheizlast / Kesselleistung:</t>
  </si>
  <si>
    <t>• Hydraulischer Abgleich (zwingend für die Förderung)</t>
  </si>
  <si>
    <t>• Heizungspumpe (optional, falls notwendig)</t>
  </si>
  <si>
    <t>• Heizungsmischer (optional, falls notwendig)</t>
  </si>
  <si>
    <t>• Mischer Stellmotor (optional, falls notwendig)</t>
  </si>
  <si>
    <t>• Zirkulationspumpe (optional, falls notwendig)</t>
  </si>
  <si>
    <t>• Absperrungen Heizung (optional, falls notwendig)</t>
  </si>
  <si>
    <t>• Absperrungen Kaltwasser (optional, falls notwendig)</t>
  </si>
  <si>
    <t>• Schlammabscheider (optional)</t>
  </si>
  <si>
    <t>• ….</t>
  </si>
  <si>
    <t>Investitionskosten für Vergleichsberechnung</t>
  </si>
  <si>
    <t>• Demontage der Altanalge (optional, falls notwendig)</t>
  </si>
  <si>
    <t>• Ausdehnungsgefäß (optional, falls notwendig)</t>
  </si>
  <si>
    <t>alle Angaben sind Bruttopreise</t>
  </si>
  <si>
    <t>Stromkosten für Kesselbetrieb</t>
  </si>
  <si>
    <t>Strompreis</t>
  </si>
  <si>
    <t>Wartungskosten</t>
  </si>
  <si>
    <t>ø Reparaturkosten (25 Jahre)</t>
  </si>
  <si>
    <t>ø Schornsteinfegerkosten</t>
  </si>
  <si>
    <t>Verbrauchs- und Betriebskosten</t>
  </si>
  <si>
    <t>Zusatzleistungen beim Heizungseinbau</t>
  </si>
  <si>
    <t>Zusatzleistungen bei der Heizungsoptimierung</t>
  </si>
  <si>
    <t>Förderung für Heizungsoptimierung (20%)</t>
  </si>
  <si>
    <t>Heizwert</t>
  </si>
  <si>
    <t>Heizöl leicht</t>
  </si>
  <si>
    <t>Quelle: Bafa</t>
  </si>
  <si>
    <t>Heizölpreis (ø 2008 bis 2020)</t>
  </si>
  <si>
    <t>Heizölverbrauch pro Jahr</t>
  </si>
  <si>
    <t>Energieinhalt je Liter Heizöl (Heizwert)</t>
  </si>
  <si>
    <t>Wärmebedarf pro Jahr</t>
  </si>
  <si>
    <t>CO2-Kosten (gesetzlicher Wert für 2025)</t>
  </si>
  <si>
    <t>Heizleistung pro Quadratmeter des Gebäudes</t>
  </si>
  <si>
    <t>Stromverbrauch (1% des Wärmebedarfs)</t>
  </si>
  <si>
    <t>Leistungspreis</t>
  </si>
  <si>
    <t>Arbeitspreis</t>
  </si>
  <si>
    <t>Jahresnutzungsgrad Wärmetauscher</t>
  </si>
  <si>
    <t>derzeitige Ölheizung</t>
  </si>
  <si>
    <t>zukünftige Ölheizung</t>
  </si>
  <si>
    <t>Nahwärme</t>
  </si>
  <si>
    <t>Kesseltyp:</t>
  </si>
  <si>
    <t>Nieder-
temperatur</t>
  </si>
  <si>
    <t>Kesseltyp</t>
  </si>
  <si>
    <t>Jahresnutzungsgrad</t>
  </si>
  <si>
    <t>Typ</t>
  </si>
  <si>
    <t>NT-Kessel</t>
  </si>
  <si>
    <t>Heizölheizung</t>
  </si>
  <si>
    <t>Investitionskosten in neue Heizölheizung</t>
  </si>
  <si>
    <t>Einmalbeitrag bei Anschluss an die Nahwärme</t>
  </si>
  <si>
    <t>Förderung ohne / mit Heizöltausch (35% / 45%)</t>
  </si>
  <si>
    <t>Zusatzleistungen beim Nahwärmeanschluss</t>
  </si>
  <si>
    <t>Gesamtinvestition nach Förderung</t>
  </si>
  <si>
    <t>Die folgenden Kosten fallen alle 20 - 30 Jahre bei der Heizungserneuerung an.</t>
  </si>
  <si>
    <r>
      <t>Wärmelieferung pro Jahr</t>
    </r>
    <r>
      <rPr>
        <sz val="11"/>
        <color rgb="FF000000"/>
        <rFont val="Arial"/>
        <family val="2"/>
      </rPr>
      <t xml:space="preserve"> (Ersatz Heizöl)</t>
    </r>
  </si>
  <si>
    <r>
      <t>Scheitholzverbrauch pro Jahr</t>
    </r>
    <r>
      <rPr>
        <sz val="11"/>
        <color rgb="FF000000"/>
        <rFont val="Arial"/>
        <family val="2"/>
      </rPr>
      <t xml:space="preserve"> (Kachelofen)</t>
    </r>
  </si>
  <si>
    <t>Jahresnutzungsgrad Heizölkessel</t>
  </si>
  <si>
    <t>Jahresnutzungsgrad Kachel-/Schwedenofen</t>
  </si>
  <si>
    <t>Brennstoffkosten Heizölkesssel</t>
  </si>
  <si>
    <t>Brennstoffkosten Kachel-/Schwedenofen</t>
  </si>
  <si>
    <t>Anteil Hartholz</t>
  </si>
  <si>
    <t>Anteil Weichholz</t>
  </si>
  <si>
    <t>Energieinhalt je Ster</t>
  </si>
  <si>
    <t>ø Heizwert Hartholz:</t>
  </si>
  <si>
    <t>ø Heizwert Weichholz:</t>
  </si>
  <si>
    <r>
      <t>Wärmelieferung pro Jahr</t>
    </r>
    <r>
      <rPr>
        <sz val="11"/>
        <color rgb="FF000000"/>
        <rFont val="Arial"/>
        <family val="2"/>
      </rPr>
      <t xml:space="preserve"> (Ersatz Scheitholz)</t>
    </r>
  </si>
  <si>
    <r>
      <t>Wärmebezugskosten</t>
    </r>
    <r>
      <rPr>
        <sz val="11"/>
        <color rgb="FF000000"/>
        <rFont val="Arial"/>
        <family val="2"/>
      </rPr>
      <t xml:space="preserve"> (Ersatz Heizöl)</t>
    </r>
  </si>
  <si>
    <r>
      <t>Wärmebezugskosten</t>
    </r>
    <r>
      <rPr>
        <sz val="11"/>
        <color rgb="FF000000"/>
        <rFont val="Arial"/>
        <family val="2"/>
      </rPr>
      <t xml:space="preserve"> (Ersatz Scheitholz)</t>
    </r>
  </si>
  <si>
    <t>Gesamtwärmeverbrauch des Gebäudes</t>
  </si>
  <si>
    <t>Scheitholzpreis (ofenfertig)</t>
  </si>
  <si>
    <t>Reduzierung Scheitholzverbrauch</t>
  </si>
  <si>
    <t>(nur für Zusatzleistungen)</t>
  </si>
  <si>
    <t>Förderung der Zusatzleistungen</t>
  </si>
  <si>
    <t>Einzelofen (Kachel- / Schwedenofen)</t>
  </si>
  <si>
    <t>hydraulischer Abgleich (Schätzkostenansatz)</t>
  </si>
  <si>
    <t>Vergleichsberechnung Heizölkessel / Nahwärme</t>
  </si>
  <si>
    <t>Leistungsverzeichnisse</t>
  </si>
  <si>
    <t>Zusatzleistungen bei Heizungseinbau</t>
  </si>
  <si>
    <t>• Brauchwarmwasserspeicher (optional, falls notwendig)</t>
  </si>
  <si>
    <t>• Kamin (Ertüchtigung für Brennwert)</t>
  </si>
  <si>
    <t>Instandsetzungskosten / Reparaturen</t>
  </si>
  <si>
    <t>Inspektions- und Wartungskosten</t>
  </si>
  <si>
    <t>Investitionskosten Heizzentrale</t>
  </si>
  <si>
    <t>für Berechnung</t>
  </si>
  <si>
    <t>Gebäude</t>
  </si>
  <si>
    <t>Wärmeverbrauch (Nahwärme)</t>
  </si>
  <si>
    <t>Gesamtkosten Nahwärme</t>
  </si>
  <si>
    <t>Der Jahresnutzungsgrad einer Einzelfeuerung beträgt nach Angaben der bimomassefreundlichen "Bay. Landes-anstalt für Wald- und Forstwirtschaft" 65%. (Merkblatt 34)</t>
  </si>
  <si>
    <t>Oftmals wird der Kachel- oder Schwedenofen weniger genutzt, wenn ein Nahwärmeanschluss errichtet wurde, da kein "teures Heizöl" eingespart werden muss/soll. (Voreinstellung 1/3)</t>
  </si>
  <si>
    <t xml:space="preserve">Wer nach einem Anlschluss an das Wärmenetz seinen Einzelofen weniger benutzt, bezieht mehr Nahwärme. Dies wird hier anhand der Eingaben unter "Einzelofen" automatisch berücksichtigt. </t>
  </si>
  <si>
    <t>https://www.tecson.de/pheizoel.html</t>
  </si>
  <si>
    <t>https://www.ihk.de/co2-preisrechner</t>
  </si>
  <si>
    <t>Die Heizölpreise und CO2-Kosten sind zu finden unter:</t>
  </si>
  <si>
    <t>Heizleistung der zu beheizenden Fläche</t>
  </si>
  <si>
    <t>Die folgenden Kosten fallen bei der Nahwärme einmalig an.</t>
  </si>
  <si>
    <t>Gesamtkosten der Zusatzleistungen</t>
  </si>
  <si>
    <r>
      <t>Grundpreis</t>
    </r>
    <r>
      <rPr>
        <sz val="8"/>
        <color theme="1"/>
        <rFont val="Arial"/>
        <family val="2"/>
      </rPr>
      <t xml:space="preserve"> (wenn keine Einmalzahlung geleistet wird)</t>
    </r>
  </si>
  <si>
    <t>Scheitholzkosten für Kachel-/Schwedenofen</t>
  </si>
  <si>
    <t>Achtung: Hier werden Nettowerte angegegben</t>
  </si>
  <si>
    <t xml:space="preserve">Der Jahresnutzungsgrad gibt an wieviel von der im Brennstoff enthaltenen Wärmeenergie in Nutzwärme umgesetzt wird.  
Die hier angegeben Jahresnutzungsgrade wurden im Rahmen eines Felduntersuchung der Fachhochschule Wolfenbüttel ermittelt. Es wurden über 70 Heizungsanlagen vermessen um die realen Jahresnutzungsgrade zu erhalten. </t>
  </si>
  <si>
    <t>Wärmeerzeugung pro Jahr</t>
  </si>
  <si>
    <t>Durchschnittliche Kosten die für die Wartung angesetzt werden (z.B. Wartungsvertrag mit Heizungsbauer)</t>
  </si>
  <si>
    <t>Durchschnittliche jährliche Kosten für Reparatur der Heizungsanlage</t>
  </si>
  <si>
    <t xml:space="preserve">Kaminkehrerkosten für Kehrarbeiten, Emissionsmessung, Feuerstättenschau, Bescheide, ... </t>
  </si>
  <si>
    <t>Gesamtkosten der Wärmeversorgung</t>
  </si>
  <si>
    <t>Erst ab dem Zeitpunkt zu bezahlen, wenn der Hauptwärmeerzeuger der Zentralheizung älter als 20 Jahre ist.</t>
  </si>
  <si>
    <r>
      <t xml:space="preserve">Dies sind die jährlich zu erwartenden Kosten, wenn der Einmalbeitrag in Höhe von 9.950 € und die gegebenenfalls Gebäudeindividuellen Zusatzleistungen </t>
    </r>
    <r>
      <rPr>
        <b/>
        <sz val="10"/>
        <color rgb="FFC00000"/>
        <rFont val="Arial"/>
        <family val="2"/>
      </rPr>
      <t>nicht</t>
    </r>
    <r>
      <rPr>
        <sz val="10"/>
        <color rgb="FFC00000"/>
        <rFont val="Arial"/>
        <family val="2"/>
      </rPr>
      <t xml:space="preserve"> bezahlt wurden.</t>
    </r>
  </si>
  <si>
    <t>Berechnung gültig bis 40 kW</t>
  </si>
  <si>
    <t>Dies sind die jährlich zu erwartenden Kosten, wenn der Einmalbeitrag in Höhe von 9.950 € und die gegebenenfalls gebäudeindividuellen Zusatzleistungen bezahlt wurden.</t>
  </si>
  <si>
    <t>Davon sind:</t>
  </si>
  <si>
    <t>Diese Kosten sind individuell für jedes Gebäude zu ermitteln.</t>
  </si>
  <si>
    <t>Diese Kosten sind individuell für jedes Gebäude zu ermitteln und nicht im Wärmepreis, sowie in den angesetzten Investitionskosten für eine neue Heizölbrennwertheizung enthalten.</t>
  </si>
  <si>
    <t>Laut Angaben des biomassefreundlichen "Technologie- und Förderzeuntrum für Nachwachsende Rohstoffe" (TFZ-Merkblatt 21WBr003; Stand Januar 2021) betragen die durchschnittlichen Kosten für Hartholz 98,68 €/Ster und für Weichholz 79,38 €/Ster. Die minimalen Kosten wurden mit 72 €/Ster Hartholz bzw. 57 €/Ster Wichholz angegeben. (Voreinstellung: 80% der durchschnittlichen Holzpreise)</t>
  </si>
  <si>
    <r>
      <t>Scheitholzverbrauch pro Jahr</t>
    </r>
    <r>
      <rPr>
        <sz val="11"/>
        <color rgb="FF000000"/>
        <rFont val="Arial"/>
        <family val="2"/>
      </rPr>
      <t xml:space="preserve"> (Einzelofen)</t>
    </r>
  </si>
  <si>
    <t>Eventuell notwendige Zusatzleistungen sind von jedem selbst zu begleichen.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</si>
</sst>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64" formatCode="#,##0.00&quot; &quot;[$€-407];[Red]&quot;-&quot;#,##0.00&quot; &quot;[$€-407]"/>
    <numFmt numFmtId="165" formatCode="0\ &quot;kW&quot;"/>
    <numFmt numFmtId="166" formatCode="#,##0\ &quot;€&quot;"/>
    <numFmt numFmtId="167" formatCode="#,##0\ &quot;kWh&quot;"/>
    <numFmt numFmtId="168" formatCode="0.0%"/>
    <numFmt numFmtId="169" formatCode="#,##0\ &quot;€/a&quot;"/>
    <numFmt numFmtId="170" formatCode="0.00\ &quot;Ct/kWh&quot;"/>
    <numFmt numFmtId="171" formatCode="0\ &quot;Jahre&quot;"/>
    <numFmt numFmtId="172" formatCode="#,##0\ &quot;qm&quot;"/>
    <numFmt numFmtId="173" formatCode="#,##0.00\ &quot;€&quot;"/>
    <numFmt numFmtId="174" formatCode="#,##0.00\ &quot;€/a&quot;"/>
    <numFmt numFmtId="175" formatCode="#,##0\ &quot;kW&quot;"/>
    <numFmt numFmtId="176" formatCode="#,##0\ &quot;Liter&quot;"/>
    <numFmt numFmtId="177" formatCode="0\ &quot;W/qm&quot;"/>
    <numFmt numFmtId="178" formatCode="#,##0\ &quot;€/kW&quot;"/>
    <numFmt numFmtId="179" formatCode="#,##0.00\ &quot;Ct/kWh&quot;"/>
    <numFmt numFmtId="180" formatCode="0.00\ &quot;kWh/Liter&quot;"/>
    <numFmt numFmtId="181" formatCode="#,##0.00\ &quot;kWh&quot;"/>
    <numFmt numFmtId="182" formatCode="0.00\ &quot;Ct/Liter&quot;"/>
    <numFmt numFmtId="183" formatCode="0.000000%"/>
    <numFmt numFmtId="184" formatCode="#,##0.0\ &quot;Ster&quot;"/>
    <numFmt numFmtId="185" formatCode="0.00\ &quot;€/Ster&quot;"/>
    <numFmt numFmtId="186" formatCode="#,##0\ &quot;kWh/Rm&quot;"/>
    <numFmt numFmtId="187" formatCode="#,##0\ &quot;kWh/Ster&quot;"/>
    <numFmt numFmtId="188" formatCode="#,##0.0\ &quot;kW&quot;"/>
  </numFmts>
  <fonts count="38" x14ac:knownFonts="1">
    <font>
      <sz val="11"/>
      <color theme="1"/>
      <name val="Calibri"/>
      <family val="2"/>
      <scheme val="minor"/>
    </font>
    <font>
      <sz val="11"/>
      <color theme="1"/>
      <name val="Calibri"/>
      <family val="2"/>
      <scheme val="minor"/>
    </font>
    <font>
      <sz val="11"/>
      <color rgb="FF000000"/>
      <name val="Arial"/>
      <family val="2"/>
    </font>
    <font>
      <b/>
      <i/>
      <sz val="16"/>
      <color rgb="FF000000"/>
      <name val="Arial"/>
      <family val="2"/>
    </font>
    <font>
      <b/>
      <i/>
      <u/>
      <sz val="11"/>
      <color rgb="FF000000"/>
      <name val="Arial"/>
      <family val="2"/>
    </font>
    <font>
      <b/>
      <sz val="11"/>
      <color rgb="FF000000"/>
      <name val="Arial"/>
      <family val="2"/>
    </font>
    <font>
      <b/>
      <sz val="11"/>
      <color theme="0"/>
      <name val="Arial"/>
      <family val="2"/>
    </font>
    <font>
      <sz val="11"/>
      <color theme="0"/>
      <name val="Arial"/>
      <family val="2"/>
    </font>
    <font>
      <sz val="11"/>
      <color theme="1"/>
      <name val="Arial"/>
      <family val="2"/>
    </font>
    <font>
      <b/>
      <i/>
      <sz val="16"/>
      <color theme="1"/>
      <name val="Arial"/>
      <family val="2"/>
    </font>
    <font>
      <b/>
      <i/>
      <u/>
      <sz val="11"/>
      <color theme="1"/>
      <name val="Arial"/>
      <family val="2"/>
    </font>
    <font>
      <b/>
      <sz val="11"/>
      <color theme="1"/>
      <name val="Arial"/>
      <family val="2"/>
    </font>
    <font>
      <sz val="11"/>
      <color rgb="FFFFFF00"/>
      <name val="Arial"/>
      <family val="2"/>
    </font>
    <font>
      <b/>
      <sz val="11"/>
      <name val="Arial"/>
      <family val="2"/>
    </font>
    <font>
      <sz val="11"/>
      <name val="Arial"/>
      <family val="2"/>
    </font>
    <font>
      <b/>
      <sz val="11"/>
      <color theme="2" tint="-0.749992370372631"/>
      <name val="Arial"/>
      <family val="2"/>
    </font>
    <font>
      <sz val="8"/>
      <name val="Calibri"/>
      <family val="2"/>
      <scheme val="minor"/>
    </font>
    <font>
      <sz val="11"/>
      <color rgb="FFFF0000"/>
      <name val="Calibri"/>
      <family val="2"/>
      <scheme val="minor"/>
    </font>
    <font>
      <b/>
      <sz val="18"/>
      <color theme="0"/>
      <name val="Arial"/>
      <family val="2"/>
    </font>
    <font>
      <sz val="9"/>
      <color rgb="FF000000"/>
      <name val="Arial"/>
      <family val="2"/>
    </font>
    <font>
      <b/>
      <sz val="11"/>
      <color theme="1"/>
      <name val="Calibri"/>
      <family val="2"/>
      <scheme val="minor"/>
    </font>
    <font>
      <sz val="11"/>
      <color theme="0"/>
      <name val="Calibri"/>
      <family val="2"/>
      <scheme val="minor"/>
    </font>
    <font>
      <sz val="10"/>
      <color theme="1"/>
      <name val="Arial"/>
      <family val="2"/>
    </font>
    <font>
      <b/>
      <sz val="16"/>
      <color theme="1"/>
      <name val="Arial"/>
      <family val="2"/>
    </font>
    <font>
      <b/>
      <sz val="18"/>
      <color rgb="FF000000"/>
      <name val="Arial"/>
      <family val="2"/>
    </font>
    <font>
      <sz val="11"/>
      <color rgb="FFC00000"/>
      <name val="Arial"/>
      <family val="2"/>
    </font>
    <font>
      <b/>
      <u/>
      <sz val="11"/>
      <color rgb="FF800000"/>
      <name val="Arial"/>
      <family val="2"/>
    </font>
    <font>
      <b/>
      <sz val="18"/>
      <name val="Arial"/>
      <family val="2"/>
    </font>
    <font>
      <i/>
      <sz val="10"/>
      <color theme="1"/>
      <name val="Arial"/>
      <family val="2"/>
    </font>
    <font>
      <sz val="10"/>
      <color rgb="FFC00000"/>
      <name val="Arial"/>
      <family val="2"/>
    </font>
    <font>
      <sz val="7"/>
      <color rgb="FFC00000"/>
      <name val="Arial"/>
      <family val="2"/>
    </font>
    <font>
      <u/>
      <sz val="11"/>
      <color theme="10"/>
      <name val="Calibri"/>
      <family val="2"/>
      <scheme val="minor"/>
    </font>
    <font>
      <u/>
      <sz val="11"/>
      <color rgb="FFC00000"/>
      <name val="Calibri"/>
      <family val="2"/>
      <scheme val="minor"/>
    </font>
    <font>
      <sz val="11"/>
      <color rgb="FFC00000"/>
      <name val="Calibri"/>
      <family val="2"/>
      <scheme val="minor"/>
    </font>
    <font>
      <sz val="12"/>
      <color theme="1"/>
      <name val="Arial"/>
      <family val="2"/>
    </font>
    <font>
      <sz val="8"/>
      <color theme="1"/>
      <name val="Arial"/>
      <family val="2"/>
    </font>
    <font>
      <b/>
      <sz val="10"/>
      <color theme="0"/>
      <name val="Arial"/>
      <family val="2"/>
    </font>
    <font>
      <b/>
      <sz val="10"/>
      <color rgb="FFC00000"/>
      <name val="Arial"/>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6" tint="-0.499984740745262"/>
        <bgColor indexed="64"/>
      </patternFill>
    </fill>
    <fill>
      <patternFill patternType="solid">
        <fgColor theme="6" tint="-0.499984740745262"/>
        <bgColor rgb="FFAECF00"/>
      </patternFill>
    </fill>
    <fill>
      <patternFill patternType="solid">
        <fgColor rgb="FF800000"/>
        <bgColor rgb="FFAECF00"/>
      </patternFill>
    </fill>
    <fill>
      <patternFill patternType="solid">
        <fgColor rgb="FF80000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2"/>
        <bgColor indexed="64"/>
      </patternFill>
    </fill>
    <fill>
      <patternFill patternType="solid">
        <fgColor theme="5" tint="0.5999938962981048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s>
  <cellStyleXfs count="14">
    <xf numFmtId="0" fontId="0" fillId="0" borderId="0"/>
    <xf numFmtId="9" fontId="1" fillId="0" borderId="0" applyFont="0" applyFill="0" applyBorder="0" applyAlignment="0" applyProtection="0"/>
    <xf numFmtId="0" fontId="2" fillId="0" borderId="0"/>
    <xf numFmtId="0" fontId="3" fillId="0" borderId="0" applyNumberFormat="0" applyBorder="0" applyProtection="0">
      <alignment horizontal="center"/>
    </xf>
    <xf numFmtId="0" fontId="3" fillId="0" borderId="0" applyNumberFormat="0" applyBorder="0" applyProtection="0">
      <alignment horizontal="center" textRotation="90"/>
    </xf>
    <xf numFmtId="0" fontId="4" fillId="0" borderId="0" applyNumberFormat="0" applyBorder="0" applyProtection="0"/>
    <xf numFmtId="164" fontId="4" fillId="0" borderId="0" applyBorder="0" applyProtection="0"/>
    <xf numFmtId="0" fontId="8" fillId="0" borderId="0"/>
    <xf numFmtId="0" fontId="9" fillId="0" borderId="0">
      <alignment horizontal="center"/>
    </xf>
    <xf numFmtId="0" fontId="9" fillId="0" borderId="0">
      <alignment horizontal="center" textRotation="90"/>
    </xf>
    <xf numFmtId="0" fontId="10" fillId="0" borderId="0"/>
    <xf numFmtId="164" fontId="10" fillId="0" borderId="0"/>
    <xf numFmtId="9" fontId="1" fillId="0" borderId="0" applyFont="0" applyFill="0" applyBorder="0" applyAlignment="0" applyProtection="0"/>
    <xf numFmtId="0" fontId="31" fillId="0" borderId="0" applyNumberFormat="0" applyFill="0" applyBorder="0" applyAlignment="0" applyProtection="0"/>
  </cellStyleXfs>
  <cellXfs count="312">
    <xf numFmtId="0" fontId="0" fillId="0" borderId="0" xfId="0"/>
    <xf numFmtId="0" fontId="0" fillId="0" borderId="0" xfId="0"/>
    <xf numFmtId="168" fontId="7" fillId="0" borderId="0" xfId="1" applyNumberFormat="1" applyFont="1" applyFill="1" applyBorder="1" applyAlignment="1">
      <alignment horizontal="center"/>
    </xf>
    <xf numFmtId="0" fontId="12" fillId="0" borderId="0" xfId="2" applyFont="1"/>
    <xf numFmtId="0" fontId="7" fillId="0" borderId="0" xfId="2" applyFont="1"/>
    <xf numFmtId="0" fontId="11" fillId="0" borderId="0" xfId="0" applyFont="1" applyAlignment="1">
      <alignment vertical="center"/>
    </xf>
    <xf numFmtId="0" fontId="15" fillId="0" borderId="0" xfId="2" applyFont="1"/>
    <xf numFmtId="0" fontId="8" fillId="0" borderId="0" xfId="0" applyFont="1"/>
    <xf numFmtId="0" fontId="8" fillId="0" borderId="0" xfId="0" applyFont="1" applyAlignment="1">
      <alignment vertical="center"/>
    </xf>
    <xf numFmtId="4" fontId="8" fillId="0" borderId="10" xfId="0" applyNumberFormat="1" applyFont="1" applyFill="1" applyBorder="1" applyAlignment="1">
      <alignment horizontal="left" vertical="center" indent="1"/>
    </xf>
    <xf numFmtId="173" fontId="8" fillId="0" borderId="1" xfId="0" applyNumberFormat="1" applyFont="1" applyFill="1" applyBorder="1" applyAlignment="1">
      <alignment vertical="center"/>
    </xf>
    <xf numFmtId="4" fontId="8" fillId="0" borderId="7" xfId="0" applyNumberFormat="1" applyFont="1" applyFill="1" applyBorder="1" applyAlignment="1">
      <alignment horizontal="left" vertical="center" indent="1"/>
    </xf>
    <xf numFmtId="173" fontId="8" fillId="0" borderId="8" xfId="0" applyNumberFormat="1" applyFont="1" applyFill="1" applyBorder="1" applyAlignment="1">
      <alignment vertical="center"/>
    </xf>
    <xf numFmtId="0" fontId="8" fillId="0" borderId="0" xfId="0" applyFont="1" applyFill="1" applyAlignment="1">
      <alignment vertical="center"/>
    </xf>
    <xf numFmtId="173" fontId="8" fillId="0" borderId="0" xfId="0" applyNumberFormat="1" applyFont="1" applyFill="1" applyAlignment="1">
      <alignment vertical="center"/>
    </xf>
    <xf numFmtId="173" fontId="8" fillId="0" borderId="11" xfId="0" applyNumberFormat="1" applyFont="1" applyFill="1" applyBorder="1" applyAlignment="1">
      <alignment vertical="center"/>
    </xf>
    <xf numFmtId="173" fontId="8" fillId="0" borderId="9" xfId="0" applyNumberFormat="1" applyFont="1" applyFill="1" applyBorder="1" applyAlignment="1">
      <alignment vertical="center"/>
    </xf>
    <xf numFmtId="0" fontId="5" fillId="0" borderId="12" xfId="2" applyFont="1" applyBorder="1"/>
    <xf numFmtId="165" fontId="7" fillId="0" borderId="0" xfId="2" applyNumberFormat="1" applyFont="1" applyAlignment="1">
      <alignment horizontal="center"/>
    </xf>
    <xf numFmtId="0" fontId="5" fillId="0" borderId="27" xfId="2" applyFont="1" applyBorder="1"/>
    <xf numFmtId="167" fontId="7" fillId="0" borderId="0" xfId="2" applyNumberFormat="1" applyFont="1" applyAlignment="1">
      <alignment horizontal="center"/>
    </xf>
    <xf numFmtId="0" fontId="19" fillId="0" borderId="0" xfId="2" applyFont="1" applyAlignment="1">
      <alignment vertical="center"/>
    </xf>
    <xf numFmtId="0" fontId="13" fillId="0" borderId="12" xfId="2" applyFont="1" applyBorder="1" applyAlignment="1">
      <alignment horizontal="left" vertical="center"/>
    </xf>
    <xf numFmtId="0" fontId="5" fillId="0" borderId="0" xfId="2" applyFont="1"/>
    <xf numFmtId="0" fontId="14" fillId="0" borderId="14" xfId="2" applyFont="1" applyBorder="1" applyAlignment="1">
      <alignment horizontal="left" vertical="center" indent="1"/>
    </xf>
    <xf numFmtId="0" fontId="14" fillId="0" borderId="13" xfId="2" applyFont="1" applyBorder="1" applyAlignment="1">
      <alignment horizontal="left" vertical="center" indent="1"/>
    </xf>
    <xf numFmtId="0" fontId="14" fillId="0" borderId="0" xfId="2" applyFont="1" applyAlignment="1">
      <alignment horizontal="left" indent="1"/>
    </xf>
    <xf numFmtId="170" fontId="7" fillId="0" borderId="0" xfId="2" applyNumberFormat="1" applyFont="1" applyAlignment="1">
      <alignment horizontal="center"/>
    </xf>
    <xf numFmtId="0" fontId="7" fillId="0" borderId="0" xfId="2" applyFont="1" applyAlignment="1">
      <alignment horizontal="center"/>
    </xf>
    <xf numFmtId="0" fontId="7" fillId="0" borderId="18" xfId="2" applyFont="1" applyBorder="1" applyAlignment="1">
      <alignment horizontal="center"/>
    </xf>
    <xf numFmtId="0" fontId="5" fillId="0" borderId="27" xfId="2" applyFont="1" applyBorder="1" applyAlignment="1">
      <alignment vertical="center"/>
    </xf>
    <xf numFmtId="165" fontId="13" fillId="0" borderId="12" xfId="2" applyNumberFormat="1" applyFont="1" applyFill="1" applyBorder="1" applyAlignment="1">
      <alignment horizontal="center"/>
    </xf>
    <xf numFmtId="181" fontId="7" fillId="0" borderId="14" xfId="2" applyNumberFormat="1" applyFont="1" applyFill="1" applyBorder="1" applyAlignment="1">
      <alignment horizontal="center"/>
    </xf>
    <xf numFmtId="181" fontId="14" fillId="0" borderId="14" xfId="2" applyNumberFormat="1" applyFont="1" applyFill="1" applyBorder="1" applyAlignment="1">
      <alignment horizontal="center"/>
    </xf>
    <xf numFmtId="0" fontId="5" fillId="0" borderId="13" xfId="2" applyFont="1" applyBorder="1" applyAlignment="1">
      <alignment horizontal="left" vertical="center"/>
    </xf>
    <xf numFmtId="167" fontId="13" fillId="0" borderId="13" xfId="2" applyNumberFormat="1" applyFont="1" applyFill="1" applyBorder="1" applyAlignment="1">
      <alignment horizontal="center"/>
    </xf>
    <xf numFmtId="169" fontId="13" fillId="0" borderId="12" xfId="2" applyNumberFormat="1" applyFont="1" applyFill="1" applyBorder="1" applyAlignment="1">
      <alignment horizontal="center"/>
    </xf>
    <xf numFmtId="182" fontId="14" fillId="0" borderId="14" xfId="2" applyNumberFormat="1" applyFont="1" applyFill="1" applyBorder="1" applyAlignment="1">
      <alignment horizontal="center"/>
    </xf>
    <xf numFmtId="167" fontId="14" fillId="0" borderId="14" xfId="2" applyNumberFormat="1" applyFont="1" applyFill="1" applyBorder="1" applyAlignment="1">
      <alignment horizontal="center"/>
    </xf>
    <xf numFmtId="182" fontId="14" fillId="0" borderId="13" xfId="2" applyNumberFormat="1" applyFont="1" applyFill="1" applyBorder="1" applyAlignment="1">
      <alignment horizontal="center"/>
    </xf>
    <xf numFmtId="166" fontId="6" fillId="0" borderId="0" xfId="2" applyNumberFormat="1" applyFont="1" applyFill="1" applyBorder="1" applyAlignment="1">
      <alignment horizontal="center"/>
    </xf>
    <xf numFmtId="166" fontId="7" fillId="0" borderId="0" xfId="2" applyNumberFormat="1" applyFont="1" applyFill="1" applyBorder="1" applyAlignment="1">
      <alignment horizontal="center"/>
    </xf>
    <xf numFmtId="0" fontId="7" fillId="0" borderId="0" xfId="2" applyFont="1" applyFill="1" applyBorder="1" applyAlignment="1">
      <alignment horizontal="center"/>
    </xf>
    <xf numFmtId="171" fontId="7" fillId="0" borderId="0" xfId="2" applyNumberFormat="1" applyFont="1" applyFill="1" applyBorder="1" applyAlignment="1">
      <alignment horizontal="center"/>
    </xf>
    <xf numFmtId="169" fontId="6" fillId="0" borderId="0" xfId="2" applyNumberFormat="1" applyFont="1" applyFill="1" applyBorder="1" applyAlignment="1">
      <alignment horizontal="center"/>
    </xf>
    <xf numFmtId="167" fontId="13" fillId="0" borderId="27" xfId="2" applyNumberFormat="1" applyFont="1" applyFill="1" applyBorder="1" applyAlignment="1">
      <alignment horizontal="center"/>
    </xf>
    <xf numFmtId="177" fontId="14" fillId="0" borderId="13" xfId="2" applyNumberFormat="1" applyFont="1" applyFill="1" applyBorder="1" applyAlignment="1">
      <alignment horizontal="center"/>
    </xf>
    <xf numFmtId="172" fontId="13" fillId="0" borderId="27" xfId="2" applyNumberFormat="1" applyFont="1" applyFill="1" applyBorder="1" applyAlignment="1">
      <alignment horizontal="center"/>
    </xf>
    <xf numFmtId="170" fontId="14" fillId="0" borderId="13" xfId="0" applyNumberFormat="1" applyFont="1" applyFill="1" applyBorder="1" applyAlignment="1">
      <alignment horizontal="center"/>
    </xf>
    <xf numFmtId="176" fontId="13" fillId="0" borderId="27" xfId="2" applyNumberFormat="1" applyFont="1" applyFill="1" applyBorder="1" applyAlignment="1">
      <alignment horizontal="center"/>
    </xf>
    <xf numFmtId="0" fontId="7" fillId="0" borderId="18" xfId="2" applyFont="1" applyFill="1" applyBorder="1" applyAlignment="1">
      <alignment horizontal="center"/>
    </xf>
    <xf numFmtId="0" fontId="7" fillId="0" borderId="0" xfId="2" applyFont="1" applyFill="1" applyBorder="1"/>
    <xf numFmtId="0" fontId="19" fillId="0" borderId="0" xfId="2" applyFont="1" applyFill="1" applyBorder="1" applyAlignment="1">
      <alignment vertical="center"/>
    </xf>
    <xf numFmtId="0" fontId="5" fillId="0" borderId="0" xfId="2" applyFont="1" applyFill="1" applyBorder="1"/>
    <xf numFmtId="170" fontId="7" fillId="0" borderId="0" xfId="2" applyNumberFormat="1" applyFont="1" applyFill="1" applyBorder="1" applyAlignment="1">
      <alignment horizontal="center"/>
    </xf>
    <xf numFmtId="0" fontId="15" fillId="0" borderId="0" xfId="2" applyFont="1" applyFill="1" applyBorder="1"/>
    <xf numFmtId="168" fontId="14" fillId="0" borderId="12" xfId="1" applyNumberFormat="1" applyFont="1" applyFill="1" applyBorder="1" applyAlignment="1">
      <alignment horizontal="center"/>
    </xf>
    <xf numFmtId="169" fontId="14" fillId="0" borderId="12" xfId="2" applyNumberFormat="1" applyFont="1" applyFill="1" applyBorder="1" applyAlignment="1">
      <alignment horizontal="center"/>
    </xf>
    <xf numFmtId="169" fontId="14" fillId="0" borderId="14" xfId="2" applyNumberFormat="1" applyFont="1" applyFill="1" applyBorder="1" applyAlignment="1">
      <alignment horizontal="center"/>
    </xf>
    <xf numFmtId="169" fontId="14" fillId="0" borderId="13" xfId="2" applyNumberFormat="1" applyFont="1" applyFill="1" applyBorder="1" applyAlignment="1">
      <alignment horizontal="center"/>
    </xf>
    <xf numFmtId="0" fontId="7" fillId="0" borderId="31" xfId="2" applyFont="1" applyBorder="1"/>
    <xf numFmtId="0" fontId="19" fillId="0" borderId="31" xfId="2" applyFont="1" applyBorder="1" applyAlignment="1">
      <alignment vertical="center"/>
    </xf>
    <xf numFmtId="0" fontId="5" fillId="0" borderId="31" xfId="2" applyFont="1" applyBorder="1"/>
    <xf numFmtId="0" fontId="15" fillId="0" borderId="31" xfId="2" applyFont="1" applyBorder="1"/>
    <xf numFmtId="171" fontId="14" fillId="0" borderId="12" xfId="2" applyNumberFormat="1" applyFont="1" applyFill="1" applyBorder="1" applyAlignment="1">
      <alignment horizontal="center"/>
    </xf>
    <xf numFmtId="168" fontId="14" fillId="0" borderId="13" xfId="1" applyNumberFormat="1" applyFont="1" applyFill="1" applyBorder="1" applyAlignment="1">
      <alignment horizontal="center"/>
    </xf>
    <xf numFmtId="166" fontId="13" fillId="0" borderId="12" xfId="2" applyNumberFormat="1" applyFont="1" applyFill="1" applyBorder="1" applyAlignment="1">
      <alignment horizontal="center"/>
    </xf>
    <xf numFmtId="166" fontId="13" fillId="0" borderId="13" xfId="2" applyNumberFormat="1" applyFont="1" applyFill="1" applyBorder="1" applyAlignment="1">
      <alignment horizontal="center"/>
    </xf>
    <xf numFmtId="0" fontId="18" fillId="0" borderId="0" xfId="0" applyFont="1" applyFill="1" applyBorder="1" applyAlignment="1">
      <alignment vertical="center"/>
    </xf>
    <xf numFmtId="169" fontId="6" fillId="4" borderId="12" xfId="2" applyNumberFormat="1" applyFont="1" applyFill="1" applyBorder="1" applyAlignment="1">
      <alignment horizontal="center"/>
    </xf>
    <xf numFmtId="179" fontId="6" fillId="4" borderId="13" xfId="2" applyNumberFormat="1" applyFont="1" applyFill="1" applyBorder="1" applyAlignment="1">
      <alignment horizontal="center"/>
    </xf>
    <xf numFmtId="169" fontId="6" fillId="4" borderId="1" xfId="2" applyNumberFormat="1" applyFont="1" applyFill="1" applyBorder="1" applyAlignment="1">
      <alignment horizontal="center"/>
    </xf>
    <xf numFmtId="0" fontId="7" fillId="0" borderId="0" xfId="2" applyFont="1" applyBorder="1"/>
    <xf numFmtId="0" fontId="6" fillId="0" borderId="18" xfId="0" applyFont="1" applyFill="1" applyBorder="1" applyAlignment="1">
      <alignment horizontal="left" vertical="center"/>
    </xf>
    <xf numFmtId="179" fontId="6" fillId="0" borderId="18" xfId="2" applyNumberFormat="1" applyFont="1" applyFill="1" applyBorder="1" applyAlignment="1">
      <alignment horizontal="center"/>
    </xf>
    <xf numFmtId="0" fontId="7" fillId="0" borderId="18" xfId="2" applyFont="1" applyFill="1" applyBorder="1"/>
    <xf numFmtId="0" fontId="7" fillId="0" borderId="18" xfId="2" applyFont="1" applyBorder="1"/>
    <xf numFmtId="169" fontId="6" fillId="7" borderId="12" xfId="2" applyNumberFormat="1" applyFont="1" applyFill="1" applyBorder="1" applyAlignment="1">
      <alignment horizontal="center"/>
    </xf>
    <xf numFmtId="179" fontId="6" fillId="7" borderId="13" xfId="2" applyNumberFormat="1" applyFont="1" applyFill="1" applyBorder="1" applyAlignment="1">
      <alignment horizontal="center"/>
    </xf>
    <xf numFmtId="0" fontId="22" fillId="0" borderId="0" xfId="0" applyFont="1" applyAlignment="1">
      <alignment horizontal="left" vertical="center"/>
    </xf>
    <xf numFmtId="0" fontId="23" fillId="0" borderId="0" xfId="0" applyFont="1" applyAlignment="1">
      <alignment horizontal="center" vertical="center"/>
    </xf>
    <xf numFmtId="0" fontId="2" fillId="0" borderId="0" xfId="2" applyFont="1" applyBorder="1" applyAlignment="1">
      <alignment vertical="center"/>
    </xf>
    <xf numFmtId="0" fontId="2" fillId="0" borderId="0" xfId="2" applyFont="1"/>
    <xf numFmtId="172" fontId="2" fillId="0" borderId="0" xfId="2" applyNumberFormat="1" applyFont="1"/>
    <xf numFmtId="172" fontId="2" fillId="0" borderId="31" xfId="2" applyNumberFormat="1" applyFont="1" applyBorder="1"/>
    <xf numFmtId="172" fontId="2" fillId="0" borderId="0" xfId="2" applyNumberFormat="1" applyFont="1" applyFill="1" applyBorder="1"/>
    <xf numFmtId="0" fontId="2" fillId="0" borderId="31" xfId="2" applyFont="1" applyBorder="1"/>
    <xf numFmtId="0" fontId="2" fillId="0" borderId="0" xfId="2" applyFont="1" applyFill="1" applyBorder="1"/>
    <xf numFmtId="0" fontId="2" fillId="0" borderId="13" xfId="2" applyFont="1" applyBorder="1"/>
    <xf numFmtId="177" fontId="2" fillId="0" borderId="0" xfId="2" applyNumberFormat="1" applyFont="1" applyFill="1" applyBorder="1"/>
    <xf numFmtId="0" fontId="2" fillId="0" borderId="0" xfId="2" applyFont="1" applyAlignment="1">
      <alignment horizontal="left" indent="1"/>
    </xf>
    <xf numFmtId="0" fontId="2" fillId="0" borderId="12" xfId="2" applyFont="1" applyBorder="1" applyAlignment="1">
      <alignment horizontal="left"/>
    </xf>
    <xf numFmtId="0" fontId="2" fillId="0" borderId="14" xfId="2" applyFont="1" applyBorder="1"/>
    <xf numFmtId="0" fontId="2" fillId="0" borderId="28" xfId="2" applyFont="1" applyBorder="1" applyAlignment="1">
      <alignment vertical="center"/>
    </xf>
    <xf numFmtId="0" fontId="2" fillId="0" borderId="29" xfId="2" applyFont="1" applyBorder="1" applyAlignment="1">
      <alignment vertical="center"/>
    </xf>
    <xf numFmtId="0" fontId="8" fillId="0" borderId="31" xfId="0" applyFont="1" applyBorder="1"/>
    <xf numFmtId="0" fontId="8" fillId="0" borderId="0" xfId="0" applyFont="1" applyFill="1" applyBorder="1"/>
    <xf numFmtId="0" fontId="2" fillId="0" borderId="18" xfId="2" applyFont="1" applyFill="1" applyBorder="1"/>
    <xf numFmtId="172" fontId="2" fillId="0" borderId="18" xfId="2" applyNumberFormat="1" applyFont="1" applyFill="1" applyBorder="1" applyAlignment="1"/>
    <xf numFmtId="172" fontId="2" fillId="0" borderId="0" xfId="2" applyNumberFormat="1" applyFont="1" applyFill="1" applyBorder="1" applyAlignment="1"/>
    <xf numFmtId="0" fontId="2" fillId="0" borderId="0" xfId="2" applyFont="1" applyBorder="1"/>
    <xf numFmtId="0" fontId="2" fillId="0" borderId="12" xfId="2" applyFont="1" applyBorder="1"/>
    <xf numFmtId="172" fontId="2" fillId="3" borderId="26" xfId="2" applyNumberFormat="1" applyFont="1" applyFill="1" applyBorder="1" applyAlignment="1"/>
    <xf numFmtId="172" fontId="2" fillId="3" borderId="32" xfId="2" applyNumberFormat="1" applyFont="1" applyFill="1" applyBorder="1" applyAlignment="1"/>
    <xf numFmtId="0" fontId="8" fillId="0" borderId="0" xfId="0" applyFont="1" applyBorder="1"/>
    <xf numFmtId="0" fontId="2" fillId="0" borderId="18" xfId="2" applyFont="1" applyBorder="1"/>
    <xf numFmtId="169" fontId="8" fillId="0" borderId="0" xfId="0" applyNumberFormat="1" applyFont="1"/>
    <xf numFmtId="165" fontId="8" fillId="0" borderId="0" xfId="0" applyNumberFormat="1" applyFont="1"/>
    <xf numFmtId="9" fontId="8" fillId="0" borderId="0" xfId="1" applyFont="1"/>
    <xf numFmtId="0" fontId="5" fillId="0" borderId="13" xfId="2" applyFont="1" applyBorder="1" applyAlignment="1">
      <alignment vertical="center"/>
    </xf>
    <xf numFmtId="0" fontId="5" fillId="0" borderId="12" xfId="2" applyFont="1" applyBorder="1" applyAlignment="1">
      <alignment horizontal="center" vertical="center" wrapText="1"/>
    </xf>
    <xf numFmtId="0" fontId="2" fillId="0" borderId="18" xfId="2" applyFont="1" applyBorder="1" applyAlignment="1">
      <alignment vertical="center"/>
    </xf>
    <xf numFmtId="0" fontId="5" fillId="0" borderId="13" xfId="2" applyFont="1" applyBorder="1" applyAlignment="1">
      <alignment horizontal="center" vertical="center"/>
    </xf>
    <xf numFmtId="0" fontId="6" fillId="6" borderId="27" xfId="0" applyFont="1" applyFill="1" applyBorder="1" applyAlignment="1">
      <alignment horizontal="left" vertical="center"/>
    </xf>
    <xf numFmtId="169" fontId="6" fillId="7" borderId="27" xfId="2" applyNumberFormat="1" applyFont="1" applyFill="1" applyBorder="1" applyAlignment="1">
      <alignment horizontal="center"/>
    </xf>
    <xf numFmtId="169" fontId="6" fillId="4" borderId="27" xfId="2" applyNumberFormat="1" applyFont="1" applyFill="1" applyBorder="1" applyAlignment="1">
      <alignment horizontal="center"/>
    </xf>
    <xf numFmtId="0" fontId="6" fillId="5" borderId="27" xfId="0" applyFont="1" applyFill="1" applyBorder="1" applyAlignment="1">
      <alignment horizontal="left" vertical="center"/>
    </xf>
    <xf numFmtId="0" fontId="2" fillId="0" borderId="28" xfId="2" applyFont="1" applyBorder="1"/>
    <xf numFmtId="9" fontId="14" fillId="0" borderId="28" xfId="1" applyFont="1" applyFill="1" applyBorder="1" applyAlignment="1">
      <alignment horizontal="center"/>
    </xf>
    <xf numFmtId="166" fontId="13" fillId="0" borderId="14" xfId="2" applyNumberFormat="1" applyFont="1" applyFill="1" applyBorder="1" applyAlignment="1">
      <alignment horizontal="center"/>
    </xf>
    <xf numFmtId="166" fontId="13" fillId="0" borderId="27" xfId="2" applyNumberFormat="1" applyFont="1" applyFill="1" applyBorder="1" applyAlignment="1">
      <alignment horizontal="center"/>
    </xf>
    <xf numFmtId="0" fontId="14" fillId="0" borderId="18" xfId="2" applyFont="1" applyBorder="1" applyAlignment="1">
      <alignment horizontal="left" indent="1"/>
    </xf>
    <xf numFmtId="170" fontId="7" fillId="0" borderId="18" xfId="2" applyNumberFormat="1" applyFont="1" applyBorder="1" applyAlignment="1">
      <alignment horizontal="center"/>
    </xf>
    <xf numFmtId="184" fontId="2" fillId="0" borderId="0" xfId="2" applyNumberFormat="1" applyFont="1"/>
    <xf numFmtId="0" fontId="2" fillId="0" borderId="13" xfId="2" applyFont="1" applyBorder="1" applyAlignment="1">
      <alignment vertical="center"/>
    </xf>
    <xf numFmtId="185" fontId="14" fillId="0" borderId="13" xfId="2" applyNumberFormat="1" applyFont="1" applyFill="1" applyBorder="1" applyAlignment="1">
      <alignment horizontal="center"/>
    </xf>
    <xf numFmtId="184" fontId="13" fillId="0" borderId="12" xfId="2" applyNumberFormat="1" applyFont="1" applyFill="1" applyBorder="1" applyAlignment="1">
      <alignment horizontal="center"/>
    </xf>
    <xf numFmtId="9" fontId="14" fillId="0" borderId="42" xfId="1" applyFont="1" applyFill="1" applyBorder="1" applyAlignment="1">
      <alignment horizontal="center"/>
    </xf>
    <xf numFmtId="9" fontId="14" fillId="0" borderId="13" xfId="1" applyFont="1" applyFill="1" applyBorder="1" applyAlignment="1">
      <alignment horizontal="center"/>
    </xf>
    <xf numFmtId="0" fontId="2" fillId="0" borderId="14" xfId="2" applyFont="1" applyBorder="1" applyAlignment="1">
      <alignment horizontal="left" indent="1"/>
    </xf>
    <xf numFmtId="0" fontId="2" fillId="0" borderId="13" xfId="2" applyFont="1" applyBorder="1" applyAlignment="1">
      <alignment horizontal="left" indent="1"/>
    </xf>
    <xf numFmtId="170" fontId="7" fillId="0" borderId="18" xfId="2" applyNumberFormat="1" applyFont="1" applyFill="1" applyBorder="1" applyAlignment="1">
      <alignment horizontal="center"/>
    </xf>
    <xf numFmtId="187" fontId="14" fillId="0" borderId="14" xfId="2" applyNumberFormat="1" applyFont="1" applyFill="1" applyBorder="1" applyAlignment="1">
      <alignment horizontal="center"/>
    </xf>
    <xf numFmtId="0" fontId="18" fillId="7" borderId="12" xfId="2" applyFont="1" applyFill="1" applyBorder="1" applyAlignment="1">
      <alignment horizontal="center" vertical="center"/>
    </xf>
    <xf numFmtId="0" fontId="24" fillId="0" borderId="0" xfId="2" applyFont="1" applyBorder="1" applyAlignment="1">
      <alignment vertical="center"/>
    </xf>
    <xf numFmtId="184" fontId="13" fillId="8" borderId="12" xfId="2" applyNumberFormat="1" applyFont="1" applyFill="1" applyBorder="1" applyAlignment="1">
      <alignment horizontal="center"/>
    </xf>
    <xf numFmtId="0" fontId="14" fillId="0" borderId="0" xfId="2" applyFont="1" applyBorder="1" applyAlignment="1">
      <alignment horizontal="left" indent="1"/>
    </xf>
    <xf numFmtId="170" fontId="7" fillId="0" borderId="0" xfId="2" applyNumberFormat="1" applyFont="1" applyBorder="1" applyAlignment="1">
      <alignment horizontal="center"/>
    </xf>
    <xf numFmtId="185" fontId="14" fillId="0" borderId="18" xfId="2" applyNumberFormat="1" applyFont="1" applyFill="1" applyBorder="1" applyAlignment="1">
      <alignment horizontal="center"/>
    </xf>
    <xf numFmtId="185" fontId="7" fillId="0" borderId="18" xfId="2" applyNumberFormat="1" applyFont="1" applyFill="1" applyBorder="1" applyAlignment="1">
      <alignment horizontal="center"/>
    </xf>
    <xf numFmtId="0" fontId="5" fillId="8" borderId="12" xfId="2" applyFont="1" applyFill="1" applyBorder="1"/>
    <xf numFmtId="0" fontId="5" fillId="8" borderId="13" xfId="2" applyFont="1" applyFill="1" applyBorder="1"/>
    <xf numFmtId="0" fontId="13" fillId="0" borderId="27" xfId="2" applyFont="1" applyBorder="1" applyAlignment="1"/>
    <xf numFmtId="0" fontId="5" fillId="8" borderId="14" xfId="2" applyFont="1" applyFill="1" applyBorder="1"/>
    <xf numFmtId="0" fontId="2" fillId="3" borderId="32" xfId="2" applyFont="1" applyFill="1" applyBorder="1" applyAlignment="1"/>
    <xf numFmtId="0" fontId="2" fillId="3" borderId="25" xfId="2" applyFont="1" applyFill="1" applyBorder="1" applyAlignment="1"/>
    <xf numFmtId="0" fontId="26" fillId="0" borderId="0" xfId="2" applyFont="1" applyAlignment="1">
      <alignment vertical="center"/>
    </xf>
    <xf numFmtId="166" fontId="6" fillId="0" borderId="18" xfId="2" applyNumberFormat="1" applyFont="1" applyFill="1" applyBorder="1" applyAlignment="1">
      <alignment horizontal="center"/>
    </xf>
    <xf numFmtId="9" fontId="14" fillId="8" borderId="28" xfId="1" applyFont="1" applyFill="1" applyBorder="1" applyAlignment="1">
      <alignment horizontal="center"/>
    </xf>
    <xf numFmtId="0" fontId="6" fillId="6" borderId="10" xfId="0" applyFont="1" applyFill="1" applyBorder="1" applyAlignment="1">
      <alignment vertical="center"/>
    </xf>
    <xf numFmtId="169" fontId="6" fillId="7" borderId="1" xfId="2" applyNumberFormat="1" applyFont="1" applyFill="1" applyBorder="1" applyAlignment="1">
      <alignment horizontal="center"/>
    </xf>
    <xf numFmtId="179" fontId="6" fillId="7" borderId="1" xfId="2" applyNumberFormat="1" applyFont="1" applyFill="1" applyBorder="1" applyAlignment="1">
      <alignment horizontal="center"/>
    </xf>
    <xf numFmtId="165" fontId="25" fillId="0" borderId="0" xfId="0" applyNumberFormat="1" applyFont="1" applyBorder="1" applyAlignment="1">
      <alignment horizontal="left" wrapText="1"/>
    </xf>
    <xf numFmtId="0" fontId="7" fillId="0" borderId="0" xfId="0" applyFont="1" applyBorder="1"/>
    <xf numFmtId="0" fontId="7" fillId="0" borderId="0" xfId="0" applyFont="1" applyBorder="1" applyAlignment="1">
      <alignment horizontal="center"/>
    </xf>
    <xf numFmtId="0" fontId="7" fillId="0" borderId="0" xfId="0" applyFont="1" applyBorder="1" applyAlignment="1">
      <alignment vertical="center"/>
    </xf>
    <xf numFmtId="0" fontId="7" fillId="0" borderId="0" xfId="0" applyFont="1" applyBorder="1" applyAlignment="1">
      <alignment horizontal="center" vertical="center"/>
    </xf>
    <xf numFmtId="168" fontId="7" fillId="0" borderId="0" xfId="1" applyNumberFormat="1" applyFont="1" applyBorder="1" applyAlignment="1">
      <alignment horizontal="center"/>
    </xf>
    <xf numFmtId="183" fontId="7" fillId="0" borderId="0" xfId="1" applyNumberFormat="1" applyFont="1" applyBorder="1"/>
    <xf numFmtId="180" fontId="7" fillId="0" borderId="0" xfId="0" applyNumberFormat="1" applyFont="1" applyBorder="1"/>
    <xf numFmtId="186" fontId="21" fillId="0" borderId="0" xfId="0" applyNumberFormat="1" applyFont="1" applyBorder="1"/>
    <xf numFmtId="0" fontId="28" fillId="0" borderId="0" xfId="0" applyFont="1" applyAlignment="1">
      <alignment horizontal="left" vertical="center"/>
    </xf>
    <xf numFmtId="184" fontId="14" fillId="2" borderId="13" xfId="2" applyNumberFormat="1" applyFont="1" applyFill="1" applyBorder="1" applyAlignment="1">
      <alignment horizontal="center"/>
    </xf>
    <xf numFmtId="166" fontId="13" fillId="9" borderId="14" xfId="2" applyNumberFormat="1" applyFont="1" applyFill="1" applyBorder="1" applyAlignment="1">
      <alignment horizontal="center"/>
    </xf>
    <xf numFmtId="0" fontId="6" fillId="5" borderId="10" xfId="0" applyFont="1" applyFill="1" applyBorder="1" applyAlignment="1">
      <alignment vertical="center"/>
    </xf>
    <xf numFmtId="0" fontId="13" fillId="11" borderId="13" xfId="2" applyFont="1" applyFill="1" applyBorder="1" applyAlignment="1">
      <alignment horizontal="center" vertical="center" wrapText="1"/>
    </xf>
    <xf numFmtId="172" fontId="13" fillId="11" borderId="27" xfId="2" applyNumberFormat="1" applyFont="1" applyFill="1" applyBorder="1" applyAlignment="1">
      <alignment horizontal="center"/>
    </xf>
    <xf numFmtId="177" fontId="14" fillId="11" borderId="13" xfId="2" applyNumberFormat="1" applyFont="1" applyFill="1" applyBorder="1" applyAlignment="1">
      <alignment horizontal="center"/>
    </xf>
    <xf numFmtId="176" fontId="13" fillId="11" borderId="27" xfId="2" applyNumberFormat="1" applyFont="1" applyFill="1" applyBorder="1" applyAlignment="1">
      <alignment horizontal="center"/>
    </xf>
    <xf numFmtId="168" fontId="14" fillId="11" borderId="12" xfId="1" applyNumberFormat="1" applyFont="1" applyFill="1" applyBorder="1" applyAlignment="1">
      <alignment horizontal="center"/>
    </xf>
    <xf numFmtId="182" fontId="14" fillId="11" borderId="14" xfId="2" applyNumberFormat="1" applyFont="1" applyFill="1" applyBorder="1" applyAlignment="1">
      <alignment horizontal="center"/>
    </xf>
    <xf numFmtId="170" fontId="14" fillId="11" borderId="13" xfId="0" applyNumberFormat="1" applyFont="1" applyFill="1" applyBorder="1" applyAlignment="1">
      <alignment horizontal="center"/>
    </xf>
    <xf numFmtId="184" fontId="13" fillId="11" borderId="12" xfId="2" applyNumberFormat="1" applyFont="1" applyFill="1" applyBorder="1" applyAlignment="1">
      <alignment horizontal="center"/>
    </xf>
    <xf numFmtId="9" fontId="14" fillId="11" borderId="14" xfId="1" applyFont="1" applyFill="1" applyBorder="1" applyAlignment="1">
      <alignment horizontal="center"/>
    </xf>
    <xf numFmtId="185" fontId="14" fillId="11" borderId="13" xfId="2" applyNumberFormat="1" applyFont="1" applyFill="1" applyBorder="1" applyAlignment="1">
      <alignment horizontal="center"/>
    </xf>
    <xf numFmtId="169" fontId="14" fillId="11" borderId="12" xfId="2" applyNumberFormat="1" applyFont="1" applyFill="1" applyBorder="1" applyAlignment="1">
      <alignment horizontal="center"/>
    </xf>
    <xf numFmtId="169" fontId="14" fillId="11" borderId="14" xfId="2" applyNumberFormat="1" applyFont="1" applyFill="1" applyBorder="1" applyAlignment="1">
      <alignment horizontal="center"/>
    </xf>
    <xf numFmtId="169" fontId="14" fillId="11" borderId="13" xfId="2" applyNumberFormat="1" applyFont="1" applyFill="1" applyBorder="1" applyAlignment="1">
      <alignment horizontal="center"/>
    </xf>
    <xf numFmtId="166" fontId="13" fillId="11" borderId="12" xfId="2" applyNumberFormat="1" applyFont="1" applyFill="1" applyBorder="1" applyAlignment="1">
      <alignment horizontal="center"/>
    </xf>
    <xf numFmtId="166" fontId="13" fillId="11" borderId="14" xfId="2" applyNumberFormat="1" applyFont="1" applyFill="1" applyBorder="1" applyAlignment="1">
      <alignment horizontal="center"/>
    </xf>
    <xf numFmtId="166" fontId="13" fillId="11" borderId="13" xfId="2" applyNumberFormat="1" applyFont="1" applyFill="1" applyBorder="1" applyAlignment="1">
      <alignment horizontal="center"/>
    </xf>
    <xf numFmtId="171" fontId="14" fillId="11" borderId="12" xfId="2" applyNumberFormat="1" applyFont="1" applyFill="1" applyBorder="1" applyAlignment="1">
      <alignment horizontal="center"/>
    </xf>
    <xf numFmtId="168" fontId="14" fillId="11" borderId="13" xfId="1" applyNumberFormat="1" applyFont="1" applyFill="1" applyBorder="1" applyAlignment="1">
      <alignment horizontal="center"/>
    </xf>
    <xf numFmtId="173" fontId="17" fillId="0" borderId="0" xfId="0" applyNumberFormat="1" applyFont="1"/>
    <xf numFmtId="4" fontId="6" fillId="7" borderId="4" xfId="0" applyNumberFormat="1" applyFont="1" applyFill="1" applyBorder="1" applyAlignment="1">
      <alignment vertical="center"/>
    </xf>
    <xf numFmtId="175" fontId="6" fillId="6" borderId="5" xfId="0" applyNumberFormat="1" applyFont="1" applyFill="1" applyBorder="1" applyAlignment="1">
      <alignment horizontal="right" vertical="center"/>
    </xf>
    <xf numFmtId="175" fontId="6" fillId="6" borderId="6" xfId="0" applyNumberFormat="1" applyFont="1" applyFill="1" applyBorder="1" applyAlignment="1">
      <alignment horizontal="right" vertical="center"/>
    </xf>
    <xf numFmtId="174" fontId="6" fillId="7" borderId="1" xfId="0" applyNumberFormat="1" applyFont="1" applyFill="1" applyBorder="1" applyAlignment="1">
      <alignment vertical="center"/>
    </xf>
    <xf numFmtId="174" fontId="6" fillId="7" borderId="11" xfId="0" applyNumberFormat="1" applyFont="1" applyFill="1" applyBorder="1" applyAlignment="1">
      <alignment vertical="center"/>
    </xf>
    <xf numFmtId="10" fontId="6" fillId="7" borderId="1" xfId="1" applyNumberFormat="1" applyFont="1" applyFill="1" applyBorder="1" applyAlignment="1">
      <alignment vertical="center"/>
    </xf>
    <xf numFmtId="10" fontId="6" fillId="7" borderId="11" xfId="1" applyNumberFormat="1" applyFont="1" applyFill="1" applyBorder="1" applyAlignment="1">
      <alignment vertical="center"/>
    </xf>
    <xf numFmtId="4" fontId="6" fillId="7" borderId="10" xfId="0" applyNumberFormat="1" applyFont="1" applyFill="1" applyBorder="1" applyAlignment="1">
      <alignment vertical="center"/>
    </xf>
    <xf numFmtId="173" fontId="6" fillId="7" borderId="1" xfId="0" applyNumberFormat="1" applyFont="1" applyFill="1" applyBorder="1" applyAlignment="1">
      <alignment vertical="center"/>
    </xf>
    <xf numFmtId="173" fontId="6" fillId="7" borderId="11" xfId="0" applyNumberFormat="1" applyFont="1" applyFill="1" applyBorder="1" applyAlignment="1">
      <alignment vertical="center"/>
    </xf>
    <xf numFmtId="178" fontId="6" fillId="7" borderId="8" xfId="0" applyNumberFormat="1" applyFont="1" applyFill="1" applyBorder="1" applyAlignment="1">
      <alignment vertical="center"/>
    </xf>
    <xf numFmtId="178" fontId="6" fillId="7" borderId="9" xfId="0" applyNumberFormat="1" applyFont="1" applyFill="1" applyBorder="1" applyAlignment="1">
      <alignment vertical="center"/>
    </xf>
    <xf numFmtId="4" fontId="6" fillId="7" borderId="20" xfId="0" applyNumberFormat="1" applyFont="1" applyFill="1" applyBorder="1" applyAlignment="1">
      <alignment vertical="center"/>
    </xf>
    <xf numFmtId="175" fontId="6" fillId="6" borderId="6" xfId="0" applyNumberFormat="1" applyFont="1" applyFill="1" applyBorder="1" applyAlignment="1">
      <alignment horizontal="center" vertical="center"/>
    </xf>
    <xf numFmtId="0" fontId="20" fillId="0" borderId="0" xfId="0" applyFont="1" applyAlignment="1">
      <alignment horizontal="center"/>
    </xf>
    <xf numFmtId="0" fontId="11" fillId="0" borderId="0" xfId="0" applyFont="1"/>
    <xf numFmtId="169" fontId="8" fillId="8" borderId="12" xfId="0" applyNumberFormat="1" applyFont="1" applyFill="1" applyBorder="1"/>
    <xf numFmtId="169" fontId="8" fillId="8" borderId="14" xfId="0" applyNumberFormat="1" applyFont="1" applyFill="1" applyBorder="1"/>
    <xf numFmtId="0" fontId="8" fillId="8" borderId="12" xfId="0" applyFont="1" applyFill="1" applyBorder="1"/>
    <xf numFmtId="0" fontId="8" fillId="8" borderId="14" xfId="0" applyFont="1" applyFill="1" applyBorder="1"/>
    <xf numFmtId="169" fontId="8" fillId="8" borderId="28" xfId="0" applyNumberFormat="1" applyFont="1" applyFill="1" applyBorder="1"/>
    <xf numFmtId="169" fontId="6" fillId="4" borderId="27" xfId="0" applyNumberFormat="1" applyFont="1" applyFill="1" applyBorder="1"/>
    <xf numFmtId="0" fontId="8" fillId="0" borderId="0" xfId="0" applyFont="1" applyBorder="1" applyAlignment="1"/>
    <xf numFmtId="0" fontId="34" fillId="0" borderId="0" xfId="0" applyFont="1"/>
    <xf numFmtId="172" fontId="2" fillId="3" borderId="25" xfId="2" applyNumberFormat="1" applyFont="1" applyFill="1" applyBorder="1" applyAlignment="1"/>
    <xf numFmtId="169" fontId="36" fillId="4" borderId="27" xfId="0" applyNumberFormat="1" applyFont="1" applyFill="1" applyBorder="1"/>
    <xf numFmtId="166" fontId="6" fillId="7" borderId="21" xfId="0" applyNumberFormat="1" applyFont="1" applyFill="1" applyBorder="1" applyAlignment="1">
      <alignment vertical="center"/>
    </xf>
    <xf numFmtId="0" fontId="25" fillId="0" borderId="39" xfId="0" applyFont="1" applyBorder="1" applyAlignment="1"/>
    <xf numFmtId="0" fontId="25" fillId="0" borderId="40" xfId="0" applyFont="1" applyBorder="1" applyAlignment="1"/>
    <xf numFmtId="0" fontId="25" fillId="0" borderId="41" xfId="0" applyFont="1" applyBorder="1" applyAlignment="1"/>
    <xf numFmtId="188" fontId="6" fillId="6" borderId="6" xfId="0" applyNumberFormat="1" applyFont="1" applyFill="1" applyBorder="1" applyAlignment="1">
      <alignment horizontal="center" vertical="center"/>
    </xf>
    <xf numFmtId="174" fontId="6" fillId="7" borderId="11" xfId="0" applyNumberFormat="1" applyFont="1" applyFill="1" applyBorder="1" applyAlignment="1">
      <alignment horizontal="center" vertical="center"/>
    </xf>
    <xf numFmtId="10" fontId="6" fillId="7" borderId="11" xfId="1" applyNumberFormat="1" applyFont="1" applyFill="1" applyBorder="1" applyAlignment="1">
      <alignment horizontal="center" vertical="center"/>
    </xf>
    <xf numFmtId="173" fontId="6" fillId="7" borderId="11" xfId="0" applyNumberFormat="1" applyFont="1" applyFill="1" applyBorder="1" applyAlignment="1">
      <alignment horizontal="center" vertical="center"/>
    </xf>
    <xf numFmtId="178" fontId="6" fillId="7" borderId="9" xfId="0" applyNumberFormat="1" applyFont="1" applyFill="1" applyBorder="1" applyAlignment="1">
      <alignment horizontal="center" vertical="center"/>
    </xf>
    <xf numFmtId="0" fontId="8" fillId="0" borderId="1" xfId="0" applyFont="1" applyBorder="1" applyAlignment="1">
      <alignment horizontal="left" indent="1"/>
    </xf>
    <xf numFmtId="0" fontId="6" fillId="6" borderId="15" xfId="0" applyFont="1" applyFill="1" applyBorder="1" applyAlignment="1">
      <alignment horizontal="left" vertical="center"/>
    </xf>
    <xf numFmtId="0" fontId="6" fillId="6" borderId="29" xfId="0" applyFont="1" applyFill="1" applyBorder="1" applyAlignment="1">
      <alignment horizontal="left" vertical="center"/>
    </xf>
    <xf numFmtId="169" fontId="14" fillId="0" borderId="15" xfId="2" applyNumberFormat="1" applyFont="1" applyFill="1" applyBorder="1" applyAlignment="1">
      <alignment horizontal="center" vertical="center"/>
    </xf>
    <xf numFmtId="169" fontId="14" fillId="0" borderId="30" xfId="2" applyNumberFormat="1" applyFont="1" applyFill="1" applyBorder="1" applyAlignment="1">
      <alignment horizontal="center" vertical="center"/>
    </xf>
    <xf numFmtId="169" fontId="14" fillId="0" borderId="29" xfId="2" applyNumberFormat="1" applyFont="1" applyFill="1" applyBorder="1" applyAlignment="1">
      <alignment horizontal="center" vertical="center"/>
    </xf>
    <xf numFmtId="0" fontId="2" fillId="3" borderId="26" xfId="2" applyFont="1" applyFill="1" applyBorder="1" applyAlignment="1">
      <alignment horizontal="center"/>
    </xf>
    <xf numFmtId="0" fontId="2" fillId="3" borderId="32" xfId="2" applyFont="1" applyFill="1" applyBorder="1" applyAlignment="1">
      <alignment horizontal="center"/>
    </xf>
    <xf numFmtId="0" fontId="2" fillId="3" borderId="25" xfId="2" applyFont="1" applyFill="1" applyBorder="1" applyAlignment="1">
      <alignment horizontal="center"/>
    </xf>
    <xf numFmtId="0" fontId="2" fillId="0" borderId="28" xfId="2" applyFont="1" applyBorder="1" applyAlignment="1">
      <alignment horizontal="left" vertical="center"/>
    </xf>
    <xf numFmtId="0" fontId="2" fillId="0" borderId="29" xfId="2" applyFont="1" applyBorder="1" applyAlignment="1">
      <alignment horizontal="left" vertical="center"/>
    </xf>
    <xf numFmtId="0" fontId="25" fillId="0" borderId="39" xfId="2" applyFont="1" applyBorder="1" applyAlignment="1">
      <alignment horizontal="center"/>
    </xf>
    <xf numFmtId="0" fontId="25" fillId="0" borderId="40" xfId="2" applyFont="1" applyBorder="1" applyAlignment="1">
      <alignment horizontal="center"/>
    </xf>
    <xf numFmtId="0" fontId="25" fillId="0" borderId="41" xfId="2" applyFont="1" applyBorder="1" applyAlignment="1">
      <alignment horizontal="center"/>
    </xf>
    <xf numFmtId="0" fontId="25" fillId="0" borderId="1" xfId="2" applyFont="1" applyBorder="1" applyAlignment="1">
      <alignment horizontal="center"/>
    </xf>
    <xf numFmtId="0" fontId="29" fillId="0" borderId="33" xfId="0" applyFont="1" applyBorder="1" applyAlignment="1">
      <alignment horizontal="left" vertical="center" wrapText="1"/>
    </xf>
    <xf numFmtId="0" fontId="29" fillId="0" borderId="34" xfId="0" applyFont="1" applyBorder="1" applyAlignment="1">
      <alignment horizontal="left" vertical="center" wrapText="1"/>
    </xf>
    <xf numFmtId="0" fontId="29" fillId="0" borderId="35" xfId="0" applyFont="1" applyBorder="1" applyAlignment="1">
      <alignment horizontal="left" vertical="center" wrapText="1"/>
    </xf>
    <xf numFmtId="0" fontId="29" fillId="0" borderId="31" xfId="0" applyFont="1" applyBorder="1" applyAlignment="1">
      <alignment horizontal="left" vertical="center" wrapText="1"/>
    </xf>
    <xf numFmtId="0" fontId="29" fillId="0" borderId="0" xfId="0" applyFont="1" applyBorder="1" applyAlignment="1">
      <alignment horizontal="left" vertical="center" wrapText="1"/>
    </xf>
    <xf numFmtId="0" fontId="29" fillId="0" borderId="43" xfId="0" applyFont="1" applyBorder="1" applyAlignment="1">
      <alignment horizontal="left" vertical="center" wrapText="1"/>
    </xf>
    <xf numFmtId="0" fontId="29" fillId="0" borderId="36" xfId="0" applyFont="1" applyBorder="1" applyAlignment="1">
      <alignment horizontal="left" vertical="center" wrapText="1"/>
    </xf>
    <xf numFmtId="0" fontId="29" fillId="0" borderId="37" xfId="0" applyFont="1" applyBorder="1" applyAlignment="1">
      <alignment horizontal="left" vertical="center" wrapText="1"/>
    </xf>
    <xf numFmtId="0" fontId="29" fillId="0" borderId="38" xfId="0" applyFont="1" applyBorder="1" applyAlignment="1">
      <alignment horizontal="left" vertical="center" wrapText="1"/>
    </xf>
    <xf numFmtId="169" fontId="14" fillId="0" borderId="15" xfId="2" applyNumberFormat="1" applyFont="1" applyFill="1" applyBorder="1" applyAlignment="1">
      <alignment horizontal="left" vertical="center"/>
    </xf>
    <xf numFmtId="169" fontId="14" fillId="0" borderId="30" xfId="2" applyNumberFormat="1" applyFont="1" applyFill="1" applyBorder="1" applyAlignment="1">
      <alignment horizontal="left" vertical="center"/>
    </xf>
    <xf numFmtId="169" fontId="14" fillId="0" borderId="29" xfId="2" applyNumberFormat="1" applyFont="1" applyFill="1" applyBorder="1" applyAlignment="1">
      <alignment horizontal="left" vertical="center"/>
    </xf>
    <xf numFmtId="0" fontId="6" fillId="5" borderId="15" xfId="0" applyFont="1" applyFill="1" applyBorder="1" applyAlignment="1">
      <alignment horizontal="left" vertical="center"/>
    </xf>
    <xf numFmtId="0" fontId="6" fillId="5" borderId="29" xfId="0" applyFont="1" applyFill="1" applyBorder="1" applyAlignment="1">
      <alignment horizontal="left" vertical="center"/>
    </xf>
    <xf numFmtId="0" fontId="7" fillId="0" borderId="0" xfId="0" applyFont="1" applyBorder="1" applyAlignment="1">
      <alignment horizontal="center"/>
    </xf>
    <xf numFmtId="0" fontId="2" fillId="3" borderId="26" xfId="2" applyFont="1" applyFill="1" applyBorder="1" applyAlignment="1">
      <alignment horizontal="center" vertical="center"/>
    </xf>
    <xf numFmtId="0" fontId="2" fillId="3" borderId="25" xfId="2" applyFont="1" applyFill="1" applyBorder="1" applyAlignment="1">
      <alignment horizontal="center" vertical="center"/>
    </xf>
    <xf numFmtId="0" fontId="18" fillId="4" borderId="22" xfId="2" applyFont="1" applyFill="1" applyBorder="1" applyAlignment="1">
      <alignment horizontal="center" vertical="center"/>
    </xf>
    <xf numFmtId="0" fontId="18" fillId="4" borderId="23" xfId="2" applyFont="1" applyFill="1" applyBorder="1" applyAlignment="1">
      <alignment horizontal="center" vertical="center"/>
    </xf>
    <xf numFmtId="0" fontId="18" fillId="4" borderId="24" xfId="2" applyFont="1" applyFill="1" applyBorder="1" applyAlignment="1">
      <alignment horizontal="center" vertical="center"/>
    </xf>
    <xf numFmtId="0" fontId="27" fillId="10" borderId="2" xfId="0" applyFont="1" applyFill="1" applyBorder="1" applyAlignment="1">
      <alignment horizontal="center" vertical="center"/>
    </xf>
    <xf numFmtId="0" fontId="27" fillId="10" borderId="16" xfId="0" applyFont="1" applyFill="1" applyBorder="1" applyAlignment="1">
      <alignment horizontal="center" vertical="center"/>
    </xf>
    <xf numFmtId="0" fontId="27" fillId="10" borderId="17" xfId="0" applyFont="1" applyFill="1" applyBorder="1" applyAlignment="1">
      <alignment horizontal="center" vertical="center"/>
    </xf>
    <xf numFmtId="0" fontId="27" fillId="10" borderId="3" xfId="0" applyFont="1" applyFill="1" applyBorder="1" applyAlignment="1">
      <alignment horizontal="center" vertical="center"/>
    </xf>
    <xf numFmtId="0" fontId="27" fillId="10" borderId="18" xfId="0" applyFont="1" applyFill="1" applyBorder="1" applyAlignment="1">
      <alignment horizontal="center" vertical="center"/>
    </xf>
    <xf numFmtId="0" fontId="27" fillId="10" borderId="19" xfId="0" applyFont="1" applyFill="1" applyBorder="1" applyAlignment="1">
      <alignment horizontal="center" vertical="center"/>
    </xf>
    <xf numFmtId="172" fontId="2" fillId="3" borderId="26" xfId="2" applyNumberFormat="1" applyFont="1" applyFill="1" applyBorder="1" applyAlignment="1">
      <alignment horizontal="center"/>
    </xf>
    <xf numFmtId="172" fontId="2" fillId="3" borderId="32" xfId="2" applyNumberFormat="1" applyFont="1" applyFill="1" applyBorder="1" applyAlignment="1">
      <alignment horizontal="center"/>
    </xf>
    <xf numFmtId="172" fontId="2" fillId="3" borderId="25" xfId="2" applyNumberFormat="1" applyFont="1" applyFill="1" applyBorder="1" applyAlignment="1">
      <alignment horizontal="center"/>
    </xf>
    <xf numFmtId="170" fontId="14" fillId="0" borderId="28" xfId="2" applyNumberFormat="1" applyFont="1" applyFill="1" applyBorder="1" applyAlignment="1">
      <alignment horizontal="center" vertical="center"/>
    </xf>
    <xf numFmtId="170" fontId="14" fillId="0" borderId="29" xfId="2" applyNumberFormat="1" applyFont="1" applyFill="1" applyBorder="1" applyAlignment="1">
      <alignment horizontal="center" vertical="center"/>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0" fontId="30" fillId="0" borderId="35" xfId="0" applyFont="1" applyBorder="1" applyAlignment="1">
      <alignment horizontal="left" vertical="center" wrapText="1"/>
    </xf>
    <xf numFmtId="0" fontId="30" fillId="0" borderId="36" xfId="0" applyFont="1" applyBorder="1" applyAlignment="1">
      <alignment horizontal="left" vertical="center" wrapText="1"/>
    </xf>
    <xf numFmtId="0" fontId="30" fillId="0" borderId="37" xfId="0" applyFont="1" applyBorder="1" applyAlignment="1">
      <alignment horizontal="left" vertical="center" wrapText="1"/>
    </xf>
    <xf numFmtId="0" fontId="30" fillId="0" borderId="38" xfId="0" applyFont="1" applyBorder="1" applyAlignment="1">
      <alignment horizontal="left" vertical="center" wrapText="1"/>
    </xf>
    <xf numFmtId="0" fontId="21" fillId="0" borderId="0" xfId="0" applyFont="1" applyBorder="1" applyAlignment="1">
      <alignment horizontal="left"/>
    </xf>
    <xf numFmtId="165" fontId="29" fillId="0" borderId="33" xfId="0" applyNumberFormat="1" applyFont="1" applyBorder="1" applyAlignment="1">
      <alignment horizontal="left" vertical="center" wrapText="1"/>
    </xf>
    <xf numFmtId="165" fontId="29" fillId="0" borderId="34" xfId="0" applyNumberFormat="1" applyFont="1" applyBorder="1" applyAlignment="1">
      <alignment horizontal="left" vertical="center" wrapText="1"/>
    </xf>
    <xf numFmtId="165" fontId="29" fillId="0" borderId="35" xfId="0" applyNumberFormat="1" applyFont="1" applyBorder="1" applyAlignment="1">
      <alignment horizontal="left" vertical="center" wrapText="1"/>
    </xf>
    <xf numFmtId="165" fontId="29" fillId="0" borderId="36" xfId="0" applyNumberFormat="1" applyFont="1" applyBorder="1" applyAlignment="1">
      <alignment horizontal="left" vertical="center" wrapText="1"/>
    </xf>
    <xf numFmtId="165" fontId="29" fillId="0" borderId="37" xfId="0" applyNumberFormat="1" applyFont="1" applyBorder="1" applyAlignment="1">
      <alignment horizontal="left" vertical="center" wrapText="1"/>
    </xf>
    <xf numFmtId="165" fontId="29" fillId="0" borderId="38" xfId="0" applyNumberFormat="1" applyFont="1" applyBorder="1" applyAlignment="1">
      <alignment horizontal="left" vertical="center" wrapText="1"/>
    </xf>
    <xf numFmtId="0" fontId="25" fillId="0" borderId="1" xfId="0" applyFont="1" applyBorder="1" applyAlignment="1">
      <alignment horizontal="left"/>
    </xf>
    <xf numFmtId="0" fontId="29" fillId="0" borderId="1" xfId="0" applyFont="1" applyBorder="1" applyAlignment="1">
      <alignment horizontal="left"/>
    </xf>
    <xf numFmtId="0" fontId="25" fillId="0" borderId="33" xfId="0" applyFont="1" applyBorder="1" applyAlignment="1">
      <alignment horizontal="left" vertical="center"/>
    </xf>
    <xf numFmtId="0" fontId="25" fillId="0" borderId="34" xfId="0" applyFont="1" applyBorder="1" applyAlignment="1">
      <alignment horizontal="left" vertical="center"/>
    </xf>
    <xf numFmtId="0" fontId="25" fillId="0" borderId="35" xfId="0" applyFont="1" applyBorder="1" applyAlignment="1">
      <alignment horizontal="left" vertical="center"/>
    </xf>
    <xf numFmtId="0" fontId="25" fillId="0" borderId="31" xfId="0" applyFont="1" applyBorder="1" applyAlignment="1">
      <alignment horizontal="left" vertical="center"/>
    </xf>
    <xf numFmtId="0" fontId="25" fillId="0" borderId="0" xfId="0" applyFont="1" applyBorder="1" applyAlignment="1">
      <alignment horizontal="left" vertical="center"/>
    </xf>
    <xf numFmtId="0" fontId="25" fillId="0" borderId="43" xfId="0" applyFont="1" applyBorder="1" applyAlignment="1">
      <alignment horizontal="left" vertical="center"/>
    </xf>
    <xf numFmtId="0" fontId="25" fillId="0" borderId="36" xfId="0" applyFont="1" applyBorder="1" applyAlignment="1">
      <alignment horizontal="left" vertical="center"/>
    </xf>
    <xf numFmtId="0" fontId="25" fillId="0" borderId="37" xfId="0" applyFont="1" applyBorder="1" applyAlignment="1">
      <alignment horizontal="left" vertical="center"/>
    </xf>
    <xf numFmtId="0" fontId="25" fillId="0" borderId="38" xfId="0" applyFont="1" applyBorder="1" applyAlignment="1">
      <alignment horizontal="left" vertical="center"/>
    </xf>
    <xf numFmtId="0" fontId="33" fillId="0" borderId="39" xfId="13" applyFont="1" applyBorder="1" applyAlignment="1">
      <alignment horizontal="left"/>
    </xf>
    <xf numFmtId="0" fontId="33" fillId="0" borderId="40" xfId="13" applyFont="1" applyBorder="1" applyAlignment="1">
      <alignment horizontal="left"/>
    </xf>
    <xf numFmtId="0" fontId="33" fillId="0" borderId="41" xfId="13" applyFont="1" applyBorder="1" applyAlignment="1">
      <alignment horizontal="left"/>
    </xf>
    <xf numFmtId="0" fontId="32" fillId="0" borderId="39" xfId="13" applyFont="1" applyBorder="1" applyAlignment="1">
      <alignment horizontal="left"/>
    </xf>
    <xf numFmtId="0" fontId="32" fillId="0" borderId="40" xfId="13" applyFont="1" applyBorder="1" applyAlignment="1">
      <alignment horizontal="left"/>
    </xf>
    <xf numFmtId="0" fontId="32" fillId="0" borderId="41" xfId="13" applyFont="1" applyBorder="1" applyAlignment="1">
      <alignment horizontal="left"/>
    </xf>
    <xf numFmtId="0" fontId="32" fillId="0" borderId="31" xfId="13" applyFont="1" applyBorder="1" applyAlignment="1">
      <alignment horizontal="left" wrapText="1"/>
    </xf>
    <xf numFmtId="0" fontId="32" fillId="0" borderId="0" xfId="13" applyFont="1" applyBorder="1" applyAlignment="1">
      <alignment horizontal="left" wrapText="1"/>
    </xf>
    <xf numFmtId="0" fontId="32" fillId="0" borderId="43" xfId="13" applyFont="1" applyBorder="1" applyAlignment="1">
      <alignment horizontal="left" wrapText="1"/>
    </xf>
    <xf numFmtId="0" fontId="33" fillId="0" borderId="39" xfId="13" applyFont="1" applyBorder="1" applyAlignment="1">
      <alignment horizontal="left" wrapText="1"/>
    </xf>
    <xf numFmtId="0" fontId="33" fillId="0" borderId="40" xfId="13" applyFont="1" applyBorder="1" applyAlignment="1">
      <alignment horizontal="left" wrapText="1"/>
    </xf>
    <xf numFmtId="0" fontId="33" fillId="0" borderId="41" xfId="13" applyFont="1" applyBorder="1" applyAlignment="1">
      <alignment horizontal="left" wrapText="1"/>
    </xf>
    <xf numFmtId="4" fontId="6" fillId="7" borderId="10" xfId="0" applyNumberFormat="1" applyFont="1" applyFill="1" applyBorder="1" applyAlignment="1">
      <alignment horizontal="left" vertical="center"/>
    </xf>
    <xf numFmtId="4" fontId="6" fillId="7" borderId="7" xfId="0" applyNumberFormat="1" applyFont="1" applyFill="1" applyBorder="1" applyAlignment="1">
      <alignment horizontal="left"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1" xfId="0" applyBorder="1" applyAlignment="1">
      <alignment horizontal="center" vertical="center" wrapText="1"/>
    </xf>
    <xf numFmtId="0" fontId="0" fillId="0" borderId="0" xfId="0" applyBorder="1" applyAlignment="1">
      <alignment horizontal="center" vertical="center" wrapText="1"/>
    </xf>
    <xf numFmtId="0" fontId="0" fillId="0" borderId="43"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cellXfs>
  <cellStyles count="14">
    <cellStyle name="Heading" xfId="3" xr:uid="{00000000-0005-0000-0000-000000000000}"/>
    <cellStyle name="Heading 2" xfId="8" xr:uid="{00000000-0005-0000-0000-000001000000}"/>
    <cellStyle name="Heading1" xfId="4" xr:uid="{00000000-0005-0000-0000-000002000000}"/>
    <cellStyle name="Heading1 2" xfId="9" xr:uid="{00000000-0005-0000-0000-000003000000}"/>
    <cellStyle name="Link" xfId="13" builtinId="8"/>
    <cellStyle name="Prozent" xfId="1" builtinId="5"/>
    <cellStyle name="Prozent 2" xfId="12" xr:uid="{00000000-0005-0000-0000-000005000000}"/>
    <cellStyle name="Result" xfId="5" xr:uid="{00000000-0005-0000-0000-000006000000}"/>
    <cellStyle name="Result 2" xfId="10" xr:uid="{00000000-0005-0000-0000-000007000000}"/>
    <cellStyle name="Result2" xfId="6" xr:uid="{00000000-0005-0000-0000-000008000000}"/>
    <cellStyle name="Result2 2" xfId="11" xr:uid="{00000000-0005-0000-0000-000009000000}"/>
    <cellStyle name="Standard" xfId="0" builtinId="0"/>
    <cellStyle name="Standard 2" xfId="2" xr:uid="{00000000-0005-0000-0000-00000B000000}"/>
    <cellStyle name="Standard 3" xfId="7" xr:uid="{00000000-0005-0000-0000-00000C000000}"/>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ecson.de/pheizoel.html" TargetMode="External"/><Relationship Id="rId1" Type="http://schemas.openxmlformats.org/officeDocument/2006/relationships/hyperlink" Target="https://www.ihk.de/co2-preisrechne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9E4EF-016C-404F-9CF4-013ED46CC76F}">
  <dimension ref="B1:AA108"/>
  <sheetViews>
    <sheetView tabSelected="1" zoomScaleNormal="100" workbookViewId="0">
      <pane ySplit="7" topLeftCell="A8" activePane="bottomLeft" state="frozen"/>
      <selection pane="bottomLeft" activeCell="B115" sqref="B115"/>
    </sheetView>
  </sheetViews>
  <sheetFormatPr baseColWidth="10" defaultRowHeight="14.25" x14ac:dyDescent="0.2"/>
  <cols>
    <col min="1" max="1" width="5.7109375" style="7" customWidth="1"/>
    <col min="2" max="2" width="45" style="7" customWidth="1"/>
    <col min="3" max="3" width="1.28515625" style="7" customWidth="1"/>
    <col min="4" max="4" width="15.7109375" style="7" customWidth="1"/>
    <col min="5" max="5" width="1.28515625" style="7" customWidth="1"/>
    <col min="6" max="6" width="15.7109375" style="7" customWidth="1"/>
    <col min="7" max="7" width="3.28515625" style="7" customWidth="1"/>
    <col min="8" max="8" width="0.7109375" style="7" customWidth="1"/>
    <col min="9" max="9" width="3.28515625" style="7" customWidth="1"/>
    <col min="10" max="10" width="15.7109375" style="7" customWidth="1"/>
    <col min="11" max="11" width="1.42578125" style="7" customWidth="1"/>
    <col min="12" max="12" width="45.140625" style="7" customWidth="1"/>
    <col min="13" max="13" width="3.28515625" style="7" customWidth="1"/>
    <col min="14" max="14" width="11.42578125" style="7"/>
    <col min="15" max="15" width="12.85546875" style="7" customWidth="1"/>
    <col min="16" max="24" width="15.7109375" style="7" customWidth="1"/>
    <col min="25" max="25" width="11.42578125" style="7"/>
    <col min="26" max="26" width="15.5703125" style="7" bestFit="1" customWidth="1"/>
    <col min="27" max="27" width="13.7109375" style="7" bestFit="1" customWidth="1"/>
    <col min="28" max="16384" width="11.42578125" style="7"/>
  </cols>
  <sheetData>
    <row r="1" spans="2:27" ht="15" thickBot="1" x14ac:dyDescent="0.25"/>
    <row r="2" spans="2:27" ht="21" customHeight="1" x14ac:dyDescent="0.2">
      <c r="B2" s="254" t="s">
        <v>85</v>
      </c>
      <c r="C2" s="255"/>
      <c r="D2" s="255"/>
      <c r="E2" s="255"/>
      <c r="F2" s="255"/>
      <c r="G2" s="255"/>
      <c r="H2" s="255"/>
      <c r="I2" s="255"/>
      <c r="J2" s="255"/>
      <c r="K2" s="255"/>
      <c r="L2" s="256"/>
      <c r="M2" s="68"/>
    </row>
    <row r="3" spans="2:27" ht="21" customHeight="1" thickBot="1" x14ac:dyDescent="0.25">
      <c r="B3" s="257"/>
      <c r="C3" s="258"/>
      <c r="D3" s="258"/>
      <c r="E3" s="258"/>
      <c r="F3" s="258"/>
      <c r="G3" s="258"/>
      <c r="H3" s="258"/>
      <c r="I3" s="258"/>
      <c r="J3" s="258"/>
      <c r="K3" s="258"/>
      <c r="L3" s="259"/>
      <c r="M3" s="68"/>
    </row>
    <row r="4" spans="2:27" ht="15.75" customHeight="1" x14ac:dyDescent="0.2">
      <c r="B4" s="161" t="s">
        <v>25</v>
      </c>
      <c r="C4" s="80"/>
      <c r="D4" s="80"/>
      <c r="E4" s="80"/>
      <c r="F4" s="80"/>
      <c r="G4" s="80"/>
      <c r="H4" s="80"/>
      <c r="I4" s="80"/>
      <c r="J4" s="80"/>
      <c r="K4" s="80"/>
      <c r="L4" s="80"/>
      <c r="M4" s="80"/>
    </row>
    <row r="5" spans="2:27" ht="15.75" customHeight="1" thickBot="1" x14ac:dyDescent="0.25">
      <c r="B5" s="79"/>
      <c r="C5" s="80"/>
      <c r="D5" s="80"/>
      <c r="E5" s="80"/>
      <c r="F5" s="80"/>
      <c r="G5" s="80"/>
      <c r="H5" s="80"/>
      <c r="I5" s="80"/>
      <c r="J5" s="80"/>
      <c r="K5" s="80"/>
      <c r="L5" s="80"/>
      <c r="M5" s="80"/>
    </row>
    <row r="6" spans="2:27" ht="33" customHeight="1" thickBot="1" x14ac:dyDescent="0.25">
      <c r="B6" s="133" t="s">
        <v>57</v>
      </c>
      <c r="C6" s="81"/>
      <c r="D6" s="110" t="s">
        <v>48</v>
      </c>
      <c r="E6" s="81"/>
      <c r="F6" s="110" t="s">
        <v>49</v>
      </c>
      <c r="G6" s="81"/>
      <c r="H6" s="249"/>
      <c r="I6" s="81"/>
      <c r="J6" s="251" t="s">
        <v>50</v>
      </c>
      <c r="K6" s="252"/>
      <c r="L6" s="253"/>
      <c r="M6" s="80"/>
    </row>
    <row r="7" spans="2:27" ht="33.75" customHeight="1" thickBot="1" x14ac:dyDescent="0.25">
      <c r="B7" s="109" t="s">
        <v>51</v>
      </c>
      <c r="C7" s="81"/>
      <c r="D7" s="165" t="s">
        <v>3</v>
      </c>
      <c r="E7" s="81"/>
      <c r="F7" s="112" t="s">
        <v>3</v>
      </c>
      <c r="G7" s="81"/>
      <c r="H7" s="250"/>
      <c r="I7" s="81"/>
      <c r="J7" s="134"/>
      <c r="K7" s="134"/>
      <c r="L7" s="134"/>
      <c r="M7" s="80"/>
    </row>
    <row r="8" spans="2:27" ht="15.75" customHeight="1" thickBot="1" x14ac:dyDescent="0.25">
      <c r="B8" s="111"/>
      <c r="C8" s="111"/>
      <c r="D8" s="111"/>
      <c r="E8" s="111"/>
      <c r="F8" s="111"/>
      <c r="G8" s="111"/>
      <c r="H8" s="111"/>
      <c r="I8" s="111"/>
      <c r="J8" s="111"/>
      <c r="K8" s="111"/>
      <c r="L8" s="111"/>
      <c r="M8" s="80"/>
    </row>
    <row r="9" spans="2:27" ht="15.75" customHeight="1" thickBot="1" x14ac:dyDescent="0.25">
      <c r="B9" s="79"/>
      <c r="C9" s="80"/>
      <c r="D9" s="80"/>
      <c r="E9" s="80"/>
      <c r="F9" s="80"/>
      <c r="G9" s="80"/>
      <c r="H9" s="80"/>
      <c r="I9" s="80"/>
      <c r="J9" s="80"/>
      <c r="K9" s="80"/>
      <c r="L9" s="80"/>
      <c r="M9" s="80"/>
      <c r="Y9" s="153"/>
      <c r="Z9" s="154" t="s">
        <v>53</v>
      </c>
      <c r="AA9" s="153"/>
    </row>
    <row r="10" spans="2:27" ht="15.75" thickBot="1" x14ac:dyDescent="0.3">
      <c r="B10" s="30" t="s">
        <v>2</v>
      </c>
      <c r="C10" s="82"/>
      <c r="D10" s="166">
        <v>102</v>
      </c>
      <c r="E10" s="83"/>
      <c r="F10" s="47">
        <f>D10</f>
        <v>102</v>
      </c>
      <c r="G10" s="83"/>
      <c r="H10" s="260"/>
      <c r="I10" s="84"/>
      <c r="J10" s="47">
        <f>F10</f>
        <v>102</v>
      </c>
      <c r="K10" s="83"/>
      <c r="L10" s="30" t="s">
        <v>2</v>
      </c>
      <c r="M10" s="85"/>
      <c r="Y10" s="155"/>
      <c r="Z10" s="156" t="s">
        <v>52</v>
      </c>
      <c r="AA10" s="153"/>
    </row>
    <row r="11" spans="2:27" ht="15" thickBot="1" x14ac:dyDescent="0.25">
      <c r="B11" s="82"/>
      <c r="C11" s="82"/>
      <c r="D11" s="4"/>
      <c r="E11" s="82"/>
      <c r="F11" s="4"/>
      <c r="G11" s="82"/>
      <c r="H11" s="261"/>
      <c r="I11" s="86"/>
      <c r="J11" s="4"/>
      <c r="K11" s="82"/>
      <c r="L11" s="82"/>
      <c r="M11" s="87"/>
      <c r="Y11" s="155"/>
      <c r="Z11" s="156" t="s">
        <v>3</v>
      </c>
      <c r="AA11" s="153"/>
    </row>
    <row r="12" spans="2:27" ht="15" x14ac:dyDescent="0.25">
      <c r="B12" s="17" t="s">
        <v>103</v>
      </c>
      <c r="C12" s="82"/>
      <c r="D12" s="31">
        <f>D10*D13/1000</f>
        <v>4.59</v>
      </c>
      <c r="E12" s="82"/>
      <c r="F12" s="31">
        <f>D12</f>
        <v>4.59</v>
      </c>
      <c r="G12" s="82"/>
      <c r="H12" s="261"/>
      <c r="I12" s="86"/>
      <c r="J12" s="31">
        <f>F12</f>
        <v>4.59</v>
      </c>
      <c r="K12" s="82"/>
      <c r="L12" s="17" t="s">
        <v>103</v>
      </c>
      <c r="M12" s="87"/>
      <c r="N12" s="279" t="s">
        <v>117</v>
      </c>
      <c r="O12" s="279"/>
      <c r="P12" s="279"/>
      <c r="Q12" s="279"/>
      <c r="R12" s="279"/>
      <c r="S12" s="279"/>
      <c r="T12" s="279"/>
      <c r="Y12" s="153"/>
      <c r="Z12" s="153"/>
      <c r="AA12" s="153"/>
    </row>
    <row r="13" spans="2:27" ht="15" thickBot="1" x14ac:dyDescent="0.25">
      <c r="B13" s="88" t="s">
        <v>43</v>
      </c>
      <c r="C13" s="82"/>
      <c r="D13" s="167">
        <v>45</v>
      </c>
      <c r="E13" s="82"/>
      <c r="F13" s="46">
        <f>D13</f>
        <v>45</v>
      </c>
      <c r="G13" s="82"/>
      <c r="H13" s="261"/>
      <c r="I13" s="86"/>
      <c r="J13" s="46">
        <f>F13</f>
        <v>45</v>
      </c>
      <c r="K13" s="82"/>
      <c r="L13" s="88" t="s">
        <v>43</v>
      </c>
      <c r="M13" s="89"/>
      <c r="N13" s="206"/>
      <c r="O13" s="206"/>
      <c r="P13" s="206"/>
      <c r="Q13" s="206"/>
      <c r="Y13" s="153"/>
      <c r="Z13" s="153"/>
      <c r="AA13" s="153"/>
    </row>
    <row r="14" spans="2:27" ht="15" thickBot="1" x14ac:dyDescent="0.25">
      <c r="B14" s="82"/>
      <c r="C14" s="82"/>
      <c r="D14" s="18"/>
      <c r="E14" s="82"/>
      <c r="F14" s="18"/>
      <c r="G14" s="82"/>
      <c r="H14" s="261"/>
      <c r="I14" s="86"/>
      <c r="J14" s="18"/>
      <c r="K14" s="82"/>
      <c r="L14" s="82"/>
      <c r="M14" s="87"/>
      <c r="Y14" s="248" t="s">
        <v>54</v>
      </c>
      <c r="Z14" s="248"/>
      <c r="AA14" s="248"/>
    </row>
    <row r="15" spans="2:27" ht="15.75" thickBot="1" x14ac:dyDescent="0.3">
      <c r="B15" s="19" t="s">
        <v>39</v>
      </c>
      <c r="C15" s="82"/>
      <c r="D15" s="168">
        <v>1300</v>
      </c>
      <c r="E15" s="82"/>
      <c r="F15" s="49">
        <f>F19/F18/F17</f>
        <v>1299.9503018108653</v>
      </c>
      <c r="G15" s="82"/>
      <c r="H15" s="261"/>
      <c r="I15" s="86"/>
      <c r="J15" s="45">
        <f>J19/J17</f>
        <v>12120.775510204083</v>
      </c>
      <c r="K15" s="82"/>
      <c r="L15" s="19" t="s">
        <v>64</v>
      </c>
      <c r="M15" s="87"/>
      <c r="Y15" s="153" t="s">
        <v>55</v>
      </c>
      <c r="Z15" s="154" t="s">
        <v>35</v>
      </c>
      <c r="AA15" s="154" t="s">
        <v>3</v>
      </c>
    </row>
    <row r="16" spans="2:27" ht="15" thickBot="1" x14ac:dyDescent="0.25">
      <c r="B16" s="90"/>
      <c r="C16" s="82"/>
      <c r="D16" s="20"/>
      <c r="E16" s="82"/>
      <c r="F16" s="20"/>
      <c r="G16" s="82"/>
      <c r="H16" s="261"/>
      <c r="I16" s="86"/>
      <c r="J16" s="20"/>
      <c r="K16" s="82"/>
      <c r="L16" s="90"/>
      <c r="M16" s="87"/>
      <c r="Y16" s="153" t="s">
        <v>56</v>
      </c>
      <c r="Z16" s="157">
        <f>AA16/Z20</f>
        <v>0.8051307847082495</v>
      </c>
      <c r="AA16" s="157">
        <v>0.755</v>
      </c>
    </row>
    <row r="17" spans="2:27" ht="14.25" customHeight="1" x14ac:dyDescent="0.2">
      <c r="B17" s="91" t="s">
        <v>66</v>
      </c>
      <c r="C17" s="82"/>
      <c r="D17" s="169">
        <f>IF(D7=$Z$10,Z16,Z17)</f>
        <v>0.91923541247484908</v>
      </c>
      <c r="E17" s="82"/>
      <c r="F17" s="169">
        <f>86.2%/0.9377</f>
        <v>0.9192705556148022</v>
      </c>
      <c r="G17" s="82"/>
      <c r="H17" s="261"/>
      <c r="I17" s="86"/>
      <c r="J17" s="56">
        <v>0.98</v>
      </c>
      <c r="K17" s="82"/>
      <c r="L17" s="91" t="s">
        <v>47</v>
      </c>
      <c r="M17" s="87"/>
      <c r="N17" s="234" t="s">
        <v>109</v>
      </c>
      <c r="O17" s="235"/>
      <c r="P17" s="235"/>
      <c r="Q17" s="235"/>
      <c r="R17" s="235"/>
      <c r="S17" s="235"/>
      <c r="T17" s="236"/>
      <c r="Y17" s="153" t="s">
        <v>3</v>
      </c>
      <c r="Z17" s="157">
        <f>AA17/Z20</f>
        <v>0.91923541247484908</v>
      </c>
      <c r="AA17" s="157">
        <v>0.86199999999999999</v>
      </c>
    </row>
    <row r="18" spans="2:27" x14ac:dyDescent="0.2">
      <c r="B18" s="92" t="s">
        <v>40</v>
      </c>
      <c r="C18" s="82"/>
      <c r="D18" s="33">
        <f>Z22</f>
        <v>9.94</v>
      </c>
      <c r="E18" s="82"/>
      <c r="F18" s="33">
        <f>D18</f>
        <v>9.94</v>
      </c>
      <c r="G18" s="82"/>
      <c r="H18" s="261"/>
      <c r="I18" s="86"/>
      <c r="J18" s="32"/>
      <c r="K18" s="82"/>
      <c r="L18" s="92"/>
      <c r="M18" s="87"/>
      <c r="N18" s="237"/>
      <c r="O18" s="238"/>
      <c r="P18" s="238"/>
      <c r="Q18" s="238"/>
      <c r="R18" s="238"/>
      <c r="S18" s="238"/>
      <c r="T18" s="239"/>
      <c r="Y18" s="153"/>
      <c r="Z18" s="153"/>
      <c r="AA18" s="153"/>
    </row>
    <row r="19" spans="2:27" ht="15.75" thickBot="1" x14ac:dyDescent="0.3">
      <c r="B19" s="34" t="s">
        <v>41</v>
      </c>
      <c r="C19" s="82"/>
      <c r="D19" s="35">
        <f>D15*D18*D17</f>
        <v>11878.36</v>
      </c>
      <c r="E19" s="82"/>
      <c r="F19" s="35">
        <f>D19</f>
        <v>11878.36</v>
      </c>
      <c r="G19" s="82"/>
      <c r="H19" s="261"/>
      <c r="I19" s="86"/>
      <c r="J19" s="35">
        <f>F19</f>
        <v>11878.36</v>
      </c>
      <c r="K19" s="82"/>
      <c r="L19" s="34" t="s">
        <v>41</v>
      </c>
      <c r="M19" s="87"/>
      <c r="N19" s="240"/>
      <c r="O19" s="241"/>
      <c r="P19" s="241"/>
      <c r="Q19" s="241"/>
      <c r="R19" s="241"/>
      <c r="S19" s="241"/>
      <c r="T19" s="242"/>
      <c r="Y19" s="153"/>
      <c r="Z19" s="153"/>
      <c r="AA19" s="153"/>
    </row>
    <row r="20" spans="2:27" ht="15" thickBot="1" x14ac:dyDescent="0.25">
      <c r="B20" s="90"/>
      <c r="C20" s="82"/>
      <c r="D20" s="20"/>
      <c r="E20" s="82"/>
      <c r="F20" s="20"/>
      <c r="G20" s="82"/>
      <c r="H20" s="261"/>
      <c r="I20" s="86"/>
      <c r="J20" s="20"/>
      <c r="K20" s="82"/>
      <c r="L20" s="90"/>
      <c r="M20" s="87"/>
      <c r="Y20" s="153" t="s">
        <v>36</v>
      </c>
      <c r="Z20" s="158">
        <f>Z22/Z21</f>
        <v>0.93773584905660379</v>
      </c>
      <c r="AA20" s="153"/>
    </row>
    <row r="21" spans="2:27" ht="15" customHeight="1" x14ac:dyDescent="0.25">
      <c r="B21" s="17" t="s">
        <v>68</v>
      </c>
      <c r="C21" s="3"/>
      <c r="D21" s="36">
        <f>D15*(D22+D23)/100</f>
        <v>1072.7184000000002</v>
      </c>
      <c r="E21" s="4"/>
      <c r="F21" s="36">
        <f>F15*(F22+F23)/100</f>
        <v>1072.6773906446681</v>
      </c>
      <c r="G21" s="4"/>
      <c r="H21" s="261"/>
      <c r="I21" s="60"/>
      <c r="J21" s="36">
        <f>J15*J22/100</f>
        <v>787.85040816326534</v>
      </c>
      <c r="K21" s="4"/>
      <c r="L21" s="17" t="s">
        <v>76</v>
      </c>
      <c r="M21" s="51"/>
      <c r="N21" s="298" t="s">
        <v>102</v>
      </c>
      <c r="O21" s="299"/>
      <c r="P21" s="299"/>
      <c r="Q21" s="300"/>
      <c r="Y21" s="153" t="s">
        <v>3</v>
      </c>
      <c r="Z21" s="159">
        <v>10.6</v>
      </c>
      <c r="AA21" s="153"/>
    </row>
    <row r="22" spans="2:27" ht="15" x14ac:dyDescent="0.25">
      <c r="B22" s="93" t="s">
        <v>38</v>
      </c>
      <c r="C22" s="82"/>
      <c r="D22" s="170">
        <v>65</v>
      </c>
      <c r="E22" s="82"/>
      <c r="F22" s="37">
        <f>D22</f>
        <v>65</v>
      </c>
      <c r="G22" s="82"/>
      <c r="H22" s="261"/>
      <c r="I22" s="86"/>
      <c r="J22" s="263">
        <v>6.5</v>
      </c>
      <c r="K22" s="82"/>
      <c r="L22" s="228" t="s">
        <v>46</v>
      </c>
      <c r="M22" s="87"/>
      <c r="N22" s="295" t="s">
        <v>100</v>
      </c>
      <c r="O22" s="296"/>
      <c r="P22" s="296"/>
      <c r="Q22" s="297"/>
      <c r="Y22" s="153" t="s">
        <v>35</v>
      </c>
      <c r="Z22" s="159">
        <v>9.94</v>
      </c>
      <c r="AA22" s="153"/>
    </row>
    <row r="23" spans="2:27" ht="15.75" thickBot="1" x14ac:dyDescent="0.3">
      <c r="B23" s="94" t="s">
        <v>42</v>
      </c>
      <c r="C23" s="82"/>
      <c r="D23" s="39">
        <v>17.5168</v>
      </c>
      <c r="E23" s="21"/>
      <c r="F23" s="39">
        <f>D23</f>
        <v>17.5168</v>
      </c>
      <c r="G23" s="21"/>
      <c r="H23" s="261"/>
      <c r="I23" s="61"/>
      <c r="J23" s="264"/>
      <c r="K23" s="21"/>
      <c r="L23" s="229"/>
      <c r="M23" s="52"/>
      <c r="N23" s="292" t="s">
        <v>101</v>
      </c>
      <c r="O23" s="293"/>
      <c r="P23" s="293"/>
      <c r="Q23" s="294"/>
      <c r="R23" s="289" t="s">
        <v>108</v>
      </c>
      <c r="S23" s="290"/>
      <c r="T23" s="291"/>
      <c r="Y23" s="153" t="s">
        <v>37</v>
      </c>
      <c r="Z23" s="153"/>
      <c r="AA23" s="153"/>
    </row>
    <row r="24" spans="2:27" ht="15" thickBot="1" x14ac:dyDescent="0.25">
      <c r="H24" s="261"/>
      <c r="I24" s="95"/>
      <c r="L24" s="96"/>
      <c r="M24" s="96"/>
      <c r="Y24" s="153"/>
      <c r="Z24" s="153"/>
      <c r="AA24" s="153"/>
    </row>
    <row r="25" spans="2:27" ht="15" x14ac:dyDescent="0.25">
      <c r="B25" s="22" t="s">
        <v>26</v>
      </c>
      <c r="C25" s="82"/>
      <c r="D25" s="36">
        <f>(D26*D27)/100</f>
        <v>32.380409360000002</v>
      </c>
      <c r="E25" s="23"/>
      <c r="F25" s="36">
        <f>(F26*F27)/100</f>
        <v>32.380409360000002</v>
      </c>
      <c r="G25" s="23"/>
      <c r="H25" s="261"/>
      <c r="I25" s="62"/>
      <c r="J25" s="36">
        <f>J26*J22/100</f>
        <v>192.28061224489795</v>
      </c>
      <c r="K25" s="4"/>
      <c r="L25" s="140" t="s">
        <v>77</v>
      </c>
      <c r="M25" s="53"/>
      <c r="N25" s="234" t="s">
        <v>99</v>
      </c>
      <c r="O25" s="235"/>
      <c r="P25" s="235"/>
      <c r="Q25" s="236"/>
      <c r="Y25" s="153"/>
      <c r="Z25" s="153"/>
      <c r="AA25" s="153"/>
    </row>
    <row r="26" spans="2:27" ht="15" x14ac:dyDescent="0.25">
      <c r="B26" s="24" t="s">
        <v>44</v>
      </c>
      <c r="C26" s="82"/>
      <c r="D26" s="38">
        <f>D19*0.01</f>
        <v>118.78360000000001</v>
      </c>
      <c r="E26" s="82"/>
      <c r="F26" s="38">
        <f>F19*0.01</f>
        <v>118.78360000000001</v>
      </c>
      <c r="G26" s="82"/>
      <c r="H26" s="261"/>
      <c r="I26" s="86"/>
      <c r="J26" s="38">
        <f>(J43-J19-J37)/J17</f>
        <v>2958.1632653061224</v>
      </c>
      <c r="K26" s="82"/>
      <c r="L26" s="143" t="s">
        <v>75</v>
      </c>
      <c r="M26" s="87"/>
      <c r="N26" s="237"/>
      <c r="O26" s="238"/>
      <c r="P26" s="238"/>
      <c r="Q26" s="239"/>
      <c r="Y26" s="271" t="s">
        <v>73</v>
      </c>
      <c r="Z26" s="271"/>
      <c r="AA26" s="160">
        <v>1537</v>
      </c>
    </row>
    <row r="27" spans="2:27" ht="15.75" thickBot="1" x14ac:dyDescent="0.3">
      <c r="B27" s="25" t="s">
        <v>27</v>
      </c>
      <c r="C27" s="82"/>
      <c r="D27" s="171">
        <v>27.26</v>
      </c>
      <c r="E27" s="82"/>
      <c r="F27" s="48">
        <v>27.26</v>
      </c>
      <c r="G27" s="82"/>
      <c r="H27" s="261"/>
      <c r="I27" s="86"/>
      <c r="J27" s="162">
        <f>D31-J31</f>
        <v>3.333333333333333</v>
      </c>
      <c r="K27" s="82"/>
      <c r="L27" s="141" t="s">
        <v>80</v>
      </c>
      <c r="M27" s="87"/>
      <c r="N27" s="240"/>
      <c r="O27" s="241"/>
      <c r="P27" s="241"/>
      <c r="Q27" s="242"/>
      <c r="Y27" s="271" t="s">
        <v>74</v>
      </c>
      <c r="Z27" s="271"/>
      <c r="AA27" s="160">
        <v>1139</v>
      </c>
    </row>
    <row r="28" spans="2:27" ht="15" thickBot="1" x14ac:dyDescent="0.25">
      <c r="B28" s="121"/>
      <c r="C28" s="105"/>
      <c r="D28" s="122"/>
      <c r="E28" s="105"/>
      <c r="F28" s="122"/>
      <c r="G28" s="82"/>
      <c r="H28" s="261"/>
      <c r="I28" s="86"/>
      <c r="J28" s="122"/>
      <c r="K28" s="105"/>
      <c r="L28" s="131"/>
      <c r="M28" s="87"/>
    </row>
    <row r="29" spans="2:27" x14ac:dyDescent="0.2">
      <c r="B29" s="26"/>
      <c r="C29" s="82"/>
      <c r="D29" s="27"/>
      <c r="E29" s="82"/>
      <c r="F29" s="27"/>
      <c r="G29" s="82"/>
      <c r="H29" s="261"/>
      <c r="I29" s="86"/>
      <c r="J29" s="27"/>
      <c r="K29" s="82"/>
      <c r="L29" s="54"/>
      <c r="M29" s="87"/>
    </row>
    <row r="30" spans="2:27" ht="19.5" customHeight="1" thickBot="1" x14ac:dyDescent="0.25">
      <c r="B30" s="146" t="s">
        <v>83</v>
      </c>
      <c r="C30" s="82"/>
      <c r="D30" s="27"/>
      <c r="E30" s="82"/>
      <c r="F30" s="27"/>
      <c r="G30" s="82"/>
      <c r="H30" s="261"/>
      <c r="I30" s="86"/>
      <c r="J30" s="27"/>
      <c r="K30" s="82"/>
      <c r="L30" s="54"/>
      <c r="M30" s="87"/>
    </row>
    <row r="31" spans="2:27" ht="15" x14ac:dyDescent="0.25">
      <c r="B31" s="17" t="s">
        <v>65</v>
      </c>
      <c r="C31" s="82"/>
      <c r="D31" s="172">
        <v>5</v>
      </c>
      <c r="E31" s="123"/>
      <c r="F31" s="126">
        <f>D31</f>
        <v>5</v>
      </c>
      <c r="G31" s="82"/>
      <c r="H31" s="261"/>
      <c r="I31" s="86"/>
      <c r="J31" s="135">
        <f>D31/3</f>
        <v>1.6666666666666667</v>
      </c>
      <c r="K31" s="82"/>
      <c r="L31" s="17" t="s">
        <v>123</v>
      </c>
      <c r="M31" s="87"/>
      <c r="N31" s="234" t="s">
        <v>98</v>
      </c>
      <c r="O31" s="235"/>
      <c r="P31" s="235"/>
      <c r="Q31" s="236"/>
    </row>
    <row r="32" spans="2:27" x14ac:dyDescent="0.2">
      <c r="B32" s="129" t="s">
        <v>70</v>
      </c>
      <c r="C32" s="82"/>
      <c r="D32" s="173">
        <v>0.5</v>
      </c>
      <c r="E32" s="123"/>
      <c r="F32" s="127">
        <f>D32</f>
        <v>0.5</v>
      </c>
      <c r="G32" s="82"/>
      <c r="H32" s="261"/>
      <c r="I32" s="86"/>
      <c r="J32" s="127">
        <f>D32</f>
        <v>0.5</v>
      </c>
      <c r="K32" s="82"/>
      <c r="L32" s="129" t="s">
        <v>70</v>
      </c>
      <c r="M32" s="87"/>
      <c r="N32" s="237"/>
      <c r="O32" s="238"/>
      <c r="P32" s="238"/>
      <c r="Q32" s="239"/>
    </row>
    <row r="33" spans="2:20" ht="15" thickBot="1" x14ac:dyDescent="0.25">
      <c r="B33" s="130" t="s">
        <v>71</v>
      </c>
      <c r="C33" s="82"/>
      <c r="D33" s="128">
        <f>1-D32</f>
        <v>0.5</v>
      </c>
      <c r="E33" s="123"/>
      <c r="F33" s="128">
        <f>D33</f>
        <v>0.5</v>
      </c>
      <c r="G33" s="82"/>
      <c r="H33" s="261"/>
      <c r="I33" s="86"/>
      <c r="J33" s="128">
        <f>D33</f>
        <v>0.5</v>
      </c>
      <c r="K33" s="82"/>
      <c r="L33" s="130" t="s">
        <v>71</v>
      </c>
      <c r="M33" s="87"/>
      <c r="N33" s="240"/>
      <c r="O33" s="241"/>
      <c r="P33" s="241"/>
      <c r="Q33" s="242"/>
    </row>
    <row r="34" spans="2:20" ht="15" thickBot="1" x14ac:dyDescent="0.25">
      <c r="B34" s="26"/>
      <c r="C34" s="82"/>
      <c r="D34" s="27"/>
      <c r="E34" s="82"/>
      <c r="F34" s="27"/>
      <c r="G34" s="82"/>
      <c r="H34" s="261"/>
      <c r="I34" s="86"/>
      <c r="J34" s="27"/>
      <c r="K34" s="82"/>
      <c r="L34" s="26"/>
      <c r="M34" s="87"/>
    </row>
    <row r="35" spans="2:20" x14ac:dyDescent="0.2">
      <c r="B35" s="91" t="s">
        <v>67</v>
      </c>
      <c r="C35" s="82"/>
      <c r="D35" s="169">
        <v>0.65</v>
      </c>
      <c r="E35" s="82"/>
      <c r="F35" s="56">
        <f>D35</f>
        <v>0.65</v>
      </c>
      <c r="G35" s="82"/>
      <c r="H35" s="261"/>
      <c r="I35" s="86"/>
      <c r="J35" s="56">
        <f>F35</f>
        <v>0.65</v>
      </c>
      <c r="K35" s="82"/>
      <c r="L35" s="91" t="s">
        <v>67</v>
      </c>
      <c r="M35" s="87"/>
      <c r="N35" s="234" t="s">
        <v>97</v>
      </c>
      <c r="O35" s="235"/>
      <c r="P35" s="235"/>
      <c r="Q35" s="236"/>
    </row>
    <row r="36" spans="2:20" x14ac:dyDescent="0.2">
      <c r="B36" s="92" t="s">
        <v>72</v>
      </c>
      <c r="C36" s="82"/>
      <c r="D36" s="132">
        <f>IF(D31=0,0,(D31*D32*AA26+D31*D33*AA27)/D31)</f>
        <v>1338</v>
      </c>
      <c r="E36" s="82"/>
      <c r="F36" s="33">
        <f>D36</f>
        <v>1338</v>
      </c>
      <c r="G36" s="82"/>
      <c r="H36" s="261"/>
      <c r="I36" s="86"/>
      <c r="J36" s="132">
        <f>F36</f>
        <v>1338</v>
      </c>
      <c r="K36" s="82"/>
      <c r="L36" s="92" t="s">
        <v>72</v>
      </c>
      <c r="M36" s="87"/>
      <c r="N36" s="237"/>
      <c r="O36" s="238"/>
      <c r="P36" s="238"/>
      <c r="Q36" s="239"/>
    </row>
    <row r="37" spans="2:20" ht="15.75" thickBot="1" x14ac:dyDescent="0.3">
      <c r="B37" s="34" t="s">
        <v>110</v>
      </c>
      <c r="C37" s="82"/>
      <c r="D37" s="35">
        <f>IF(D31=0,0,D31*D36*D35)</f>
        <v>4348.5</v>
      </c>
      <c r="E37" s="82"/>
      <c r="F37" s="35">
        <f>D37</f>
        <v>4348.5</v>
      </c>
      <c r="G37" s="82"/>
      <c r="H37" s="261"/>
      <c r="I37" s="86"/>
      <c r="J37" s="35">
        <f>J31*J36*J35</f>
        <v>1449.5</v>
      </c>
      <c r="K37" s="82"/>
      <c r="L37" s="34" t="s">
        <v>110</v>
      </c>
      <c r="M37" s="87"/>
      <c r="N37" s="240"/>
      <c r="O37" s="241"/>
      <c r="P37" s="241"/>
      <c r="Q37" s="242"/>
    </row>
    <row r="38" spans="2:20" ht="15" thickBot="1" x14ac:dyDescent="0.25">
      <c r="B38" s="26"/>
      <c r="C38" s="82"/>
      <c r="D38" s="27"/>
      <c r="E38" s="82"/>
      <c r="F38" s="27"/>
      <c r="G38" s="82"/>
      <c r="H38" s="261"/>
      <c r="I38" s="86"/>
      <c r="J38" s="27"/>
      <c r="K38" s="82"/>
      <c r="L38" s="26"/>
      <c r="M38" s="87"/>
    </row>
    <row r="39" spans="2:20" ht="15" customHeight="1" x14ac:dyDescent="0.25">
      <c r="B39" s="17" t="s">
        <v>69</v>
      </c>
      <c r="C39" s="3"/>
      <c r="D39" s="36">
        <f>D40*D31</f>
        <v>356.12</v>
      </c>
      <c r="E39" s="4"/>
      <c r="F39" s="36">
        <f>F40*F31</f>
        <v>356.12</v>
      </c>
      <c r="G39" s="82"/>
      <c r="H39" s="261"/>
      <c r="I39" s="86"/>
      <c r="J39" s="36">
        <f>J40*J31</f>
        <v>118.70666666666668</v>
      </c>
      <c r="K39" s="82"/>
      <c r="L39" s="17" t="s">
        <v>69</v>
      </c>
      <c r="M39" s="87"/>
      <c r="N39" s="265" t="s">
        <v>122</v>
      </c>
      <c r="O39" s="266"/>
      <c r="P39" s="266"/>
      <c r="Q39" s="266"/>
      <c r="R39" s="266"/>
      <c r="S39" s="266"/>
      <c r="T39" s="267"/>
    </row>
    <row r="40" spans="2:20" ht="15" thickBot="1" x14ac:dyDescent="0.25">
      <c r="B40" s="124" t="s">
        <v>79</v>
      </c>
      <c r="C40" s="82"/>
      <c r="D40" s="174">
        <f>D32*98.68*0.8+D33*79.38*0.8</f>
        <v>71.224000000000004</v>
      </c>
      <c r="E40" s="82"/>
      <c r="F40" s="125">
        <f>D40</f>
        <v>71.224000000000004</v>
      </c>
      <c r="G40" s="82"/>
      <c r="H40" s="261"/>
      <c r="I40" s="86"/>
      <c r="J40" s="125">
        <f>F40</f>
        <v>71.224000000000004</v>
      </c>
      <c r="K40" s="82"/>
      <c r="L40" s="124" t="s">
        <v>79</v>
      </c>
      <c r="M40" s="87"/>
      <c r="N40" s="268"/>
      <c r="O40" s="269"/>
      <c r="P40" s="269"/>
      <c r="Q40" s="269"/>
      <c r="R40" s="269"/>
      <c r="S40" s="269"/>
      <c r="T40" s="270"/>
    </row>
    <row r="41" spans="2:20" ht="15" thickBot="1" x14ac:dyDescent="0.25">
      <c r="B41" s="111"/>
      <c r="C41" s="105"/>
      <c r="D41" s="139"/>
      <c r="E41" s="105"/>
      <c r="F41" s="138"/>
      <c r="G41" s="82"/>
      <c r="H41" s="261"/>
      <c r="I41" s="86"/>
      <c r="J41" s="138"/>
      <c r="K41" s="105"/>
      <c r="L41" s="111"/>
      <c r="M41" s="87"/>
    </row>
    <row r="42" spans="2:20" ht="15" thickBot="1" x14ac:dyDescent="0.25">
      <c r="B42" s="136"/>
      <c r="C42" s="100"/>
      <c r="D42" s="137"/>
      <c r="E42" s="100"/>
      <c r="F42" s="137"/>
      <c r="G42" s="82"/>
      <c r="H42" s="261"/>
      <c r="I42" s="86"/>
      <c r="J42" s="27"/>
      <c r="K42" s="82"/>
      <c r="L42" s="54"/>
      <c r="M42" s="87"/>
    </row>
    <row r="43" spans="2:20" ht="15.75" thickBot="1" x14ac:dyDescent="0.3">
      <c r="B43" s="142" t="s">
        <v>78</v>
      </c>
      <c r="C43" s="100"/>
      <c r="D43" s="45">
        <f>D37+D19</f>
        <v>16226.86</v>
      </c>
      <c r="E43" s="82">
        <f t="shared" ref="E43:F43" si="0">E37+E19</f>
        <v>0</v>
      </c>
      <c r="F43" s="45">
        <f t="shared" si="0"/>
        <v>16226.86</v>
      </c>
      <c r="G43" s="82"/>
      <c r="H43" s="261"/>
      <c r="I43" s="86"/>
      <c r="J43" s="45">
        <f>F43</f>
        <v>16226.86</v>
      </c>
      <c r="K43" s="82"/>
      <c r="L43" s="142" t="s">
        <v>78</v>
      </c>
      <c r="M43" s="87"/>
    </row>
    <row r="44" spans="2:20" ht="15" thickBot="1" x14ac:dyDescent="0.25">
      <c r="B44" s="26"/>
      <c r="C44" s="82"/>
      <c r="D44" s="27"/>
      <c r="E44" s="82"/>
      <c r="F44" s="27"/>
      <c r="G44" s="82"/>
      <c r="H44" s="261"/>
      <c r="I44" s="86"/>
      <c r="J44" s="27"/>
      <c r="K44" s="82"/>
      <c r="L44" s="54"/>
      <c r="M44" s="87"/>
    </row>
    <row r="45" spans="2:20" ht="15" x14ac:dyDescent="0.25">
      <c r="B45" s="220" t="s">
        <v>5</v>
      </c>
      <c r="C45" s="82"/>
      <c r="D45" s="77">
        <f>D21+D25+D39</f>
        <v>1461.2188093600003</v>
      </c>
      <c r="E45" s="4"/>
      <c r="F45" s="77">
        <f>F21+F25+F39</f>
        <v>1461.1778000046679</v>
      </c>
      <c r="G45" s="4"/>
      <c r="H45" s="261"/>
      <c r="I45" s="60"/>
      <c r="J45" s="69">
        <f>J21+J25+J39</f>
        <v>1098.83768707483</v>
      </c>
      <c r="K45" s="4"/>
      <c r="L45" s="246" t="s">
        <v>5</v>
      </c>
      <c r="M45" s="51"/>
    </row>
    <row r="46" spans="2:20" ht="15.75" thickBot="1" x14ac:dyDescent="0.3">
      <c r="B46" s="221"/>
      <c r="C46" s="82"/>
      <c r="D46" s="78">
        <f>D45*100/D43</f>
        <v>9.0049387827343068</v>
      </c>
      <c r="E46" s="4"/>
      <c r="F46" s="78">
        <f>F45*100/F43</f>
        <v>9.0046860575901189</v>
      </c>
      <c r="G46" s="4"/>
      <c r="H46" s="262"/>
      <c r="I46" s="60"/>
      <c r="J46" s="70">
        <f>J45*100/J43</f>
        <v>6.7717210050177918</v>
      </c>
      <c r="K46" s="4"/>
      <c r="L46" s="247"/>
      <c r="M46" s="51"/>
    </row>
    <row r="47" spans="2:20" ht="15.75" thickBot="1" x14ac:dyDescent="0.3">
      <c r="B47" s="73"/>
      <c r="C47" s="97"/>
      <c r="D47" s="74"/>
      <c r="E47" s="75"/>
      <c r="F47" s="74"/>
      <c r="G47" s="76"/>
      <c r="H47" s="98"/>
      <c r="I47" s="76"/>
      <c r="J47" s="74"/>
      <c r="K47" s="75"/>
      <c r="L47" s="73"/>
      <c r="M47" s="51"/>
    </row>
    <row r="48" spans="2:20" ht="15" thickBot="1" x14ac:dyDescent="0.25">
      <c r="B48" s="82"/>
      <c r="C48" s="82"/>
      <c r="D48" s="28"/>
      <c r="E48" s="82"/>
      <c r="F48" s="28"/>
      <c r="G48" s="82"/>
      <c r="H48" s="99"/>
      <c r="I48" s="100"/>
      <c r="J48" s="28"/>
      <c r="K48" s="82"/>
      <c r="L48" s="42"/>
      <c r="M48" s="87"/>
    </row>
    <row r="49" spans="2:24" x14ac:dyDescent="0.2">
      <c r="B49" s="101" t="s">
        <v>28</v>
      </c>
      <c r="C49" s="82"/>
      <c r="D49" s="175">
        <f>Daten!J6</f>
        <v>129.40853333333334</v>
      </c>
      <c r="E49" s="82"/>
      <c r="F49" s="57">
        <f>D49</f>
        <v>129.40853333333334</v>
      </c>
      <c r="G49" s="82"/>
      <c r="H49" s="102"/>
      <c r="I49" s="100"/>
      <c r="J49" s="222">
        <f>IF(J12&lt;15,600,600+(J12-15)*15)</f>
        <v>600</v>
      </c>
      <c r="K49" s="82"/>
      <c r="L49" s="243" t="s">
        <v>45</v>
      </c>
      <c r="M49" s="87"/>
      <c r="N49" s="278" t="s">
        <v>111</v>
      </c>
      <c r="O49" s="278"/>
      <c r="P49" s="278"/>
      <c r="Q49" s="278"/>
      <c r="R49" s="278"/>
      <c r="S49" s="278"/>
      <c r="T49" s="278"/>
    </row>
    <row r="50" spans="2:24" x14ac:dyDescent="0.2">
      <c r="B50" s="92" t="s">
        <v>29</v>
      </c>
      <c r="C50" s="82"/>
      <c r="D50" s="176">
        <f>Daten!J4</f>
        <v>121.50007694999996</v>
      </c>
      <c r="E50" s="82"/>
      <c r="F50" s="58">
        <f>D50</f>
        <v>121.50007694999996</v>
      </c>
      <c r="G50" s="82"/>
      <c r="H50" s="103"/>
      <c r="I50" s="100"/>
      <c r="J50" s="223"/>
      <c r="K50" s="82"/>
      <c r="L50" s="244"/>
      <c r="M50" s="87"/>
      <c r="N50" s="278" t="s">
        <v>112</v>
      </c>
      <c r="O50" s="278"/>
      <c r="P50" s="278"/>
      <c r="Q50" s="278"/>
      <c r="R50" s="278"/>
      <c r="S50" s="278"/>
      <c r="T50" s="278"/>
    </row>
    <row r="51" spans="2:24" ht="15" thickBot="1" x14ac:dyDescent="0.25">
      <c r="B51" s="88" t="s">
        <v>30</v>
      </c>
      <c r="C51" s="82"/>
      <c r="D51" s="177">
        <v>94.85</v>
      </c>
      <c r="E51" s="82"/>
      <c r="F51" s="59">
        <f>D51</f>
        <v>94.85</v>
      </c>
      <c r="G51" s="82"/>
      <c r="H51" s="103"/>
      <c r="I51" s="100"/>
      <c r="J51" s="224"/>
      <c r="K51" s="82"/>
      <c r="L51" s="245"/>
      <c r="M51" s="87"/>
      <c r="N51" s="278" t="s">
        <v>113</v>
      </c>
      <c r="O51" s="278"/>
      <c r="P51" s="278"/>
      <c r="Q51" s="278"/>
      <c r="R51" s="278"/>
      <c r="S51" s="278"/>
      <c r="T51" s="278"/>
    </row>
    <row r="52" spans="2:24" ht="15" thickBot="1" x14ac:dyDescent="0.25">
      <c r="H52" s="103"/>
      <c r="I52" s="104"/>
      <c r="L52" s="96"/>
      <c r="M52" s="96"/>
    </row>
    <row r="53" spans="2:24" ht="15.75" thickBot="1" x14ac:dyDescent="0.3">
      <c r="B53" s="113" t="s">
        <v>4</v>
      </c>
      <c r="C53" s="82"/>
      <c r="D53" s="114">
        <f>D50+D49+D51</f>
        <v>345.75861028333327</v>
      </c>
      <c r="E53" s="4"/>
      <c r="F53" s="114">
        <f>F50+F49+F51</f>
        <v>345.75861028333327</v>
      </c>
      <c r="G53" s="4"/>
      <c r="H53" s="208"/>
      <c r="I53" s="72"/>
      <c r="J53" s="115">
        <f>J50+J49+J51</f>
        <v>600</v>
      </c>
      <c r="K53" s="4"/>
      <c r="L53" s="116" t="s">
        <v>4</v>
      </c>
      <c r="M53" s="51"/>
    </row>
    <row r="54" spans="2:24" ht="15" thickBot="1" x14ac:dyDescent="0.25">
      <c r="B54" s="105"/>
      <c r="C54" s="105"/>
      <c r="D54" s="29"/>
      <c r="E54" s="105"/>
      <c r="F54" s="29"/>
      <c r="G54" s="105"/>
      <c r="H54" s="105"/>
      <c r="I54" s="105"/>
      <c r="J54" s="29"/>
      <c r="K54" s="105"/>
      <c r="L54" s="50"/>
      <c r="M54" s="87"/>
      <c r="N54" s="106"/>
    </row>
    <row r="55" spans="2:24" ht="15" thickBot="1" x14ac:dyDescent="0.25">
      <c r="B55" s="82"/>
      <c r="C55" s="82"/>
      <c r="D55" s="28"/>
      <c r="E55" s="82"/>
      <c r="F55" s="28"/>
      <c r="G55" s="82"/>
      <c r="H55" s="82"/>
      <c r="I55" s="82"/>
      <c r="J55" s="28" t="s">
        <v>6</v>
      </c>
      <c r="K55" s="82"/>
      <c r="L55" s="42"/>
      <c r="M55" s="87"/>
      <c r="N55" s="107"/>
    </row>
    <row r="56" spans="2:24" ht="15" customHeight="1" x14ac:dyDescent="0.25">
      <c r="B56" s="220" t="s">
        <v>31</v>
      </c>
      <c r="C56" s="82"/>
      <c r="D56" s="77">
        <f>D45+D53</f>
        <v>1806.9774196433336</v>
      </c>
      <c r="E56" s="82"/>
      <c r="F56" s="77">
        <f>F45+F53</f>
        <v>1806.9364102880013</v>
      </c>
      <c r="G56" s="82"/>
      <c r="H56" s="225"/>
      <c r="I56" s="86"/>
      <c r="J56" s="69">
        <f>J45+J53</f>
        <v>1698.83768707483</v>
      </c>
      <c r="K56" s="82"/>
      <c r="L56" s="246" t="s">
        <v>31</v>
      </c>
      <c r="M56" s="87"/>
      <c r="N56" s="272" t="s">
        <v>118</v>
      </c>
      <c r="O56" s="273"/>
      <c r="P56" s="273"/>
      <c r="Q56" s="273"/>
      <c r="R56" s="273"/>
      <c r="S56" s="273"/>
      <c r="T56" s="274"/>
      <c r="U56" s="152"/>
      <c r="V56" s="152"/>
      <c r="W56" s="152"/>
      <c r="X56" s="152"/>
    </row>
    <row r="57" spans="2:24" ht="15.75" thickBot="1" x14ac:dyDescent="0.3">
      <c r="B57" s="221"/>
      <c r="C57" s="82"/>
      <c r="D57" s="78">
        <f>D56*100/D43</f>
        <v>11.135718306827899</v>
      </c>
      <c r="E57" s="6"/>
      <c r="F57" s="78">
        <f>F56*100/F43</f>
        <v>11.135465581683711</v>
      </c>
      <c r="G57" s="6"/>
      <c r="H57" s="226"/>
      <c r="I57" s="63"/>
      <c r="J57" s="70">
        <f>J56*100/J43</f>
        <v>10.46929404132919</v>
      </c>
      <c r="K57" s="6"/>
      <c r="L57" s="247"/>
      <c r="M57" s="55"/>
      <c r="N57" s="275"/>
      <c r="O57" s="276"/>
      <c r="P57" s="276"/>
      <c r="Q57" s="276"/>
      <c r="R57" s="276"/>
      <c r="S57" s="276"/>
      <c r="T57" s="277"/>
      <c r="U57" s="152"/>
      <c r="V57" s="152"/>
      <c r="W57" s="152"/>
      <c r="X57" s="152"/>
    </row>
    <row r="58" spans="2:24" x14ac:dyDescent="0.2">
      <c r="B58" s="82"/>
      <c r="C58" s="82"/>
      <c r="D58" s="28"/>
      <c r="E58" s="82"/>
      <c r="F58" s="28"/>
      <c r="G58" s="82"/>
      <c r="H58" s="226"/>
      <c r="I58" s="86"/>
      <c r="J58" s="28"/>
      <c r="K58" s="82"/>
      <c r="L58" s="42"/>
      <c r="M58" s="87"/>
      <c r="N58" s="107"/>
    </row>
    <row r="59" spans="2:24" ht="15.75" thickBot="1" x14ac:dyDescent="0.3">
      <c r="B59" s="82"/>
      <c r="C59" s="82"/>
      <c r="D59" s="28"/>
      <c r="E59" s="82"/>
      <c r="F59" s="28"/>
      <c r="G59" s="82"/>
      <c r="H59" s="226"/>
      <c r="I59" s="86"/>
      <c r="J59" s="199" t="s">
        <v>119</v>
      </c>
      <c r="K59" s="82"/>
      <c r="L59" s="42"/>
      <c r="M59" s="87"/>
      <c r="N59" s="107"/>
    </row>
    <row r="60" spans="2:24" x14ac:dyDescent="0.2">
      <c r="B60" s="82"/>
      <c r="C60" s="82"/>
      <c r="D60" s="28"/>
      <c r="E60" s="82"/>
      <c r="F60" s="28"/>
      <c r="G60" s="82"/>
      <c r="H60" s="226"/>
      <c r="I60" s="86"/>
      <c r="J60" s="200">
        <f>J95</f>
        <v>980.13102040816329</v>
      </c>
      <c r="L60" s="202" t="s">
        <v>95</v>
      </c>
      <c r="M60" s="87"/>
      <c r="N60" s="107"/>
    </row>
    <row r="61" spans="2:24" ht="15" thickBot="1" x14ac:dyDescent="0.25">
      <c r="B61" s="82"/>
      <c r="C61" s="82"/>
      <c r="D61" s="28"/>
      <c r="E61" s="82"/>
      <c r="F61" s="28"/>
      <c r="G61" s="82"/>
      <c r="H61" s="226"/>
      <c r="I61" s="86"/>
      <c r="J61" s="201">
        <f>J96</f>
        <v>600</v>
      </c>
      <c r="L61" s="203" t="s">
        <v>45</v>
      </c>
      <c r="M61" s="87"/>
      <c r="N61" s="107"/>
    </row>
    <row r="62" spans="2:24" ht="15.75" thickBot="1" x14ac:dyDescent="0.3">
      <c r="B62" s="82"/>
      <c r="C62" s="82"/>
      <c r="D62" s="28"/>
      <c r="E62" s="82"/>
      <c r="F62" s="28"/>
      <c r="G62" s="82"/>
      <c r="H62" s="226"/>
      <c r="I62" s="86"/>
      <c r="J62" s="205">
        <f>J60+J61</f>
        <v>1580.1310204081633</v>
      </c>
      <c r="L62" s="205" t="s">
        <v>96</v>
      </c>
      <c r="M62" s="87"/>
      <c r="N62" s="107"/>
    </row>
    <row r="63" spans="2:24" ht="15" thickBot="1" x14ac:dyDescent="0.25">
      <c r="B63" s="82"/>
      <c r="C63" s="82"/>
      <c r="D63" s="28"/>
      <c r="E63" s="82"/>
      <c r="F63" s="28"/>
      <c r="G63" s="82"/>
      <c r="H63" s="226"/>
      <c r="I63" s="86"/>
      <c r="M63" s="87"/>
      <c r="N63" s="107"/>
    </row>
    <row r="64" spans="2:24" ht="15.75" thickBot="1" x14ac:dyDescent="0.3">
      <c r="B64" s="82"/>
      <c r="C64" s="82"/>
      <c r="D64" s="28"/>
      <c r="E64" s="82"/>
      <c r="F64" s="28"/>
      <c r="G64" s="82"/>
      <c r="H64" s="227"/>
      <c r="I64" s="86"/>
      <c r="J64" s="205">
        <f>J100</f>
        <v>118.70666666666668</v>
      </c>
      <c r="L64" s="209" t="s">
        <v>107</v>
      </c>
      <c r="M64" s="87"/>
      <c r="N64" s="107"/>
    </row>
    <row r="65" spans="2:20" x14ac:dyDescent="0.2">
      <c r="B65" s="82"/>
      <c r="C65" s="82"/>
      <c r="D65" s="28"/>
      <c r="E65" s="82"/>
      <c r="F65" s="28"/>
      <c r="G65" s="82"/>
      <c r="H65" s="100"/>
      <c r="I65" s="100"/>
      <c r="J65" s="28"/>
      <c r="K65" s="82"/>
      <c r="L65" s="42"/>
      <c r="M65" s="87"/>
      <c r="N65" s="107"/>
    </row>
    <row r="66" spans="2:20" ht="15" thickBot="1" x14ac:dyDescent="0.25">
      <c r="B66" s="105"/>
      <c r="C66" s="105"/>
      <c r="D66" s="29"/>
      <c r="E66" s="105"/>
      <c r="F66" s="29"/>
      <c r="G66" s="105"/>
      <c r="H66" s="98"/>
      <c r="I66" s="105"/>
      <c r="J66" s="29"/>
      <c r="K66" s="105"/>
      <c r="L66" s="50"/>
      <c r="M66" s="87"/>
      <c r="N66" s="107"/>
    </row>
    <row r="67" spans="2:20" x14ac:dyDescent="0.2">
      <c r="B67" s="82"/>
      <c r="C67" s="82"/>
      <c r="D67" s="28"/>
      <c r="E67" s="82"/>
      <c r="F67" s="28"/>
      <c r="G67" s="82"/>
      <c r="H67" s="99"/>
      <c r="I67" s="100"/>
      <c r="J67" s="28"/>
      <c r="K67" s="82"/>
      <c r="L67" s="42"/>
      <c r="M67" s="87"/>
      <c r="N67" s="107"/>
    </row>
    <row r="68" spans="2:20" x14ac:dyDescent="0.2">
      <c r="B68" s="82"/>
      <c r="C68" s="82"/>
      <c r="D68" s="28"/>
      <c r="E68" s="82"/>
      <c r="F68" s="28"/>
      <c r="G68" s="82"/>
      <c r="H68" s="144"/>
      <c r="I68" s="86"/>
      <c r="J68" s="28"/>
      <c r="K68" s="82"/>
      <c r="L68" s="42"/>
      <c r="M68" s="87"/>
      <c r="N68" s="107"/>
    </row>
    <row r="69" spans="2:20" x14ac:dyDescent="0.2">
      <c r="B69" s="230" t="s">
        <v>63</v>
      </c>
      <c r="C69" s="231"/>
      <c r="D69" s="231"/>
      <c r="E69" s="231"/>
      <c r="F69" s="232"/>
      <c r="G69" s="82"/>
      <c r="H69" s="144"/>
      <c r="I69" s="86"/>
      <c r="J69" s="233" t="s">
        <v>104</v>
      </c>
      <c r="K69" s="233"/>
      <c r="L69" s="233"/>
      <c r="M69" s="87"/>
      <c r="N69" s="107"/>
    </row>
    <row r="70" spans="2:20" x14ac:dyDescent="0.2">
      <c r="B70" s="82"/>
      <c r="C70" s="82"/>
      <c r="D70" s="28"/>
      <c r="E70" s="82"/>
      <c r="F70" s="28"/>
      <c r="G70" s="82"/>
      <c r="H70" s="144"/>
      <c r="I70" s="86"/>
      <c r="J70" s="28"/>
      <c r="K70" s="82"/>
      <c r="L70" s="42"/>
      <c r="M70" s="87"/>
      <c r="N70" s="107"/>
    </row>
    <row r="71" spans="2:20" ht="15" thickBot="1" x14ac:dyDescent="0.25">
      <c r="B71" s="82"/>
      <c r="C71" s="82"/>
      <c r="D71" s="28"/>
      <c r="E71" s="82"/>
      <c r="F71" s="28"/>
      <c r="G71" s="82"/>
      <c r="H71" s="144"/>
      <c r="I71" s="86"/>
      <c r="J71" s="28"/>
      <c r="K71" s="82"/>
      <c r="L71" s="42"/>
      <c r="M71" s="87"/>
      <c r="N71" s="107"/>
    </row>
    <row r="72" spans="2:20" ht="15.75" x14ac:dyDescent="0.25">
      <c r="B72" s="101" t="s">
        <v>58</v>
      </c>
      <c r="C72" s="82"/>
      <c r="D72" s="40"/>
      <c r="E72" s="82"/>
      <c r="F72" s="178">
        <f>Daten!J7</f>
        <v>9000.0056999999979</v>
      </c>
      <c r="G72" s="82"/>
      <c r="H72" s="144"/>
      <c r="I72" s="86"/>
      <c r="J72" s="66">
        <v>9950</v>
      </c>
      <c r="K72" s="82"/>
      <c r="L72" s="101" t="s">
        <v>59</v>
      </c>
      <c r="M72" s="87"/>
      <c r="N72" s="107"/>
      <c r="O72" s="207"/>
    </row>
    <row r="73" spans="2:20" ht="15" x14ac:dyDescent="0.25">
      <c r="B73" s="92" t="s">
        <v>32</v>
      </c>
      <c r="C73" s="82"/>
      <c r="D73" s="41"/>
      <c r="E73" s="82"/>
      <c r="F73" s="179">
        <v>0</v>
      </c>
      <c r="G73" s="82"/>
      <c r="H73" s="144"/>
      <c r="I73" s="86"/>
      <c r="J73" s="119">
        <f>F73</f>
        <v>0</v>
      </c>
      <c r="K73" s="82"/>
      <c r="L73" s="92" t="s">
        <v>61</v>
      </c>
      <c r="M73" s="87"/>
      <c r="N73" s="280" t="s">
        <v>120</v>
      </c>
      <c r="O73" s="281"/>
      <c r="P73" s="281"/>
      <c r="Q73" s="281"/>
      <c r="R73" s="281"/>
      <c r="S73" s="281"/>
      <c r="T73" s="282"/>
    </row>
    <row r="74" spans="2:20" ht="15" customHeight="1" x14ac:dyDescent="0.2">
      <c r="B74" s="228" t="s">
        <v>60</v>
      </c>
      <c r="C74" s="82"/>
      <c r="D74" s="41"/>
      <c r="E74" s="82"/>
      <c r="F74" s="118">
        <v>0</v>
      </c>
      <c r="G74" s="82"/>
      <c r="H74" s="144"/>
      <c r="I74" s="86"/>
      <c r="J74" s="148">
        <v>0.45</v>
      </c>
      <c r="K74" s="82"/>
      <c r="L74" s="117" t="s">
        <v>81</v>
      </c>
      <c r="M74" s="87"/>
      <c r="N74" s="283"/>
      <c r="O74" s="284"/>
      <c r="P74" s="284"/>
      <c r="Q74" s="284"/>
      <c r="R74" s="284"/>
      <c r="S74" s="284"/>
      <c r="T74" s="285"/>
    </row>
    <row r="75" spans="2:20" ht="15.75" thickBot="1" x14ac:dyDescent="0.3">
      <c r="B75" s="229"/>
      <c r="C75" s="82"/>
      <c r="D75" s="40"/>
      <c r="E75" s="82"/>
      <c r="F75" s="67">
        <v>0</v>
      </c>
      <c r="G75" s="82"/>
      <c r="H75" s="144"/>
      <c r="I75" s="86"/>
      <c r="J75" s="67">
        <f>J73*J74</f>
        <v>0</v>
      </c>
      <c r="K75" s="82"/>
      <c r="L75" s="88" t="s">
        <v>82</v>
      </c>
      <c r="M75" s="87"/>
      <c r="N75" s="286"/>
      <c r="O75" s="287"/>
      <c r="P75" s="287"/>
      <c r="Q75" s="287"/>
      <c r="R75" s="287"/>
      <c r="S75" s="287"/>
      <c r="T75" s="288"/>
    </row>
    <row r="76" spans="2:20" ht="15.75" thickBot="1" x14ac:dyDescent="0.3">
      <c r="B76" s="100"/>
      <c r="C76" s="82"/>
      <c r="D76" s="40"/>
      <c r="E76" s="82"/>
      <c r="F76" s="40"/>
      <c r="G76" s="82"/>
      <c r="H76" s="144"/>
      <c r="I76" s="86"/>
      <c r="J76" s="40"/>
      <c r="K76" s="82"/>
      <c r="L76" s="100"/>
      <c r="M76" s="87"/>
    </row>
    <row r="77" spans="2:20" ht="15.75" thickBot="1" x14ac:dyDescent="0.3">
      <c r="B77" s="19" t="s">
        <v>62</v>
      </c>
      <c r="C77" s="82"/>
      <c r="D77" s="40"/>
      <c r="E77" s="82"/>
      <c r="F77" s="120">
        <f>F72+F73-F75</f>
        <v>9000.0056999999979</v>
      </c>
      <c r="G77" s="82"/>
      <c r="H77" s="144"/>
      <c r="I77" s="86"/>
      <c r="J77" s="120">
        <f>J72+J73-J75</f>
        <v>9950</v>
      </c>
      <c r="K77" s="82"/>
      <c r="L77" s="19" t="s">
        <v>62</v>
      </c>
      <c r="M77" s="87"/>
    </row>
    <row r="78" spans="2:20" ht="15.75" thickBot="1" x14ac:dyDescent="0.3">
      <c r="B78" s="105"/>
      <c r="C78" s="105"/>
      <c r="D78" s="147"/>
      <c r="E78" s="105"/>
      <c r="F78" s="147"/>
      <c r="G78" s="82"/>
      <c r="H78" s="144"/>
      <c r="I78" s="86"/>
      <c r="J78" s="147"/>
      <c r="K78" s="105"/>
      <c r="L78" s="105"/>
      <c r="M78" s="87"/>
    </row>
    <row r="79" spans="2:20" ht="15.75" thickBot="1" x14ac:dyDescent="0.3">
      <c r="B79" s="100"/>
      <c r="C79" s="82"/>
      <c r="D79" s="40"/>
      <c r="E79" s="82"/>
      <c r="F79" s="40"/>
      <c r="G79" s="82"/>
      <c r="H79" s="144"/>
      <c r="I79" s="86"/>
      <c r="J79" s="40"/>
      <c r="K79" s="82"/>
      <c r="L79" s="100"/>
      <c r="M79" s="87"/>
    </row>
    <row r="80" spans="2:20" ht="15" x14ac:dyDescent="0.25">
      <c r="B80" s="101" t="s">
        <v>33</v>
      </c>
      <c r="C80" s="82"/>
      <c r="D80" s="41"/>
      <c r="E80" s="82"/>
      <c r="F80" s="178">
        <v>0</v>
      </c>
      <c r="G80" s="82"/>
      <c r="H80" s="144"/>
      <c r="I80" s="86"/>
      <c r="J80" s="66">
        <f>F80</f>
        <v>0</v>
      </c>
      <c r="L80" s="101" t="s">
        <v>33</v>
      </c>
      <c r="M80" s="96"/>
      <c r="N80" s="280" t="s">
        <v>120</v>
      </c>
      <c r="O80" s="281"/>
      <c r="P80" s="281"/>
      <c r="Q80" s="281"/>
      <c r="R80" s="281"/>
      <c r="S80" s="281"/>
      <c r="T80" s="282"/>
    </row>
    <row r="81" spans="2:24" ht="15" x14ac:dyDescent="0.25">
      <c r="B81" s="92" t="s">
        <v>84</v>
      </c>
      <c r="C81" s="82"/>
      <c r="D81" s="40"/>
      <c r="E81" s="82"/>
      <c r="F81" s="179">
        <v>0</v>
      </c>
      <c r="G81" s="82"/>
      <c r="H81" s="144"/>
      <c r="I81" s="86"/>
      <c r="J81" s="163">
        <v>1000</v>
      </c>
      <c r="K81" s="82"/>
      <c r="L81" s="92" t="s">
        <v>84</v>
      </c>
      <c r="M81" s="87"/>
      <c r="N81" s="283"/>
      <c r="O81" s="284"/>
      <c r="P81" s="284"/>
      <c r="Q81" s="284"/>
      <c r="R81" s="284"/>
      <c r="S81" s="284"/>
      <c r="T81" s="285"/>
    </row>
    <row r="82" spans="2:24" ht="14.25" customHeight="1" thickBot="1" x14ac:dyDescent="0.3">
      <c r="B82" s="88" t="s">
        <v>34</v>
      </c>
      <c r="C82" s="82"/>
      <c r="D82" s="40"/>
      <c r="E82" s="82"/>
      <c r="F82" s="180">
        <f>(F80+F81)*0.2</f>
        <v>0</v>
      </c>
      <c r="G82" s="82"/>
      <c r="H82" s="144"/>
      <c r="I82" s="86"/>
      <c r="J82" s="67">
        <f>(J81+J80)*0.2</f>
        <v>200</v>
      </c>
      <c r="K82" s="82"/>
      <c r="L82" s="88" t="s">
        <v>34</v>
      </c>
      <c r="M82" s="87"/>
      <c r="N82" s="286"/>
      <c r="O82" s="287"/>
      <c r="P82" s="287"/>
      <c r="Q82" s="287"/>
      <c r="R82" s="287"/>
      <c r="S82" s="287"/>
      <c r="T82" s="288"/>
    </row>
    <row r="83" spans="2:24" ht="15" thickBot="1" x14ac:dyDescent="0.25">
      <c r="D83" s="96"/>
      <c r="H83" s="144"/>
      <c r="I83" s="95"/>
      <c r="L83" s="96"/>
      <c r="M83" s="96"/>
    </row>
    <row r="84" spans="2:24" ht="15.75" thickBot="1" x14ac:dyDescent="0.3">
      <c r="B84" s="19" t="s">
        <v>62</v>
      </c>
      <c r="C84" s="82"/>
      <c r="D84" s="40"/>
      <c r="E84" s="82"/>
      <c r="F84" s="120">
        <f>F77+F80+F81-F82</f>
        <v>9000.0056999999979</v>
      </c>
      <c r="G84" s="82"/>
      <c r="H84" s="144"/>
      <c r="I84" s="86"/>
      <c r="J84" s="120">
        <f>J77+J80+J81-J82</f>
        <v>10750</v>
      </c>
      <c r="K84" s="82"/>
      <c r="L84" s="19" t="s">
        <v>62</v>
      </c>
      <c r="M84" s="87"/>
    </row>
    <row r="85" spans="2:24" ht="15" thickBot="1" x14ac:dyDescent="0.25">
      <c r="B85" s="82"/>
      <c r="C85" s="82"/>
      <c r="D85" s="42"/>
      <c r="E85" s="82"/>
      <c r="F85" s="28"/>
      <c r="G85" s="82"/>
      <c r="H85" s="144"/>
      <c r="I85" s="86"/>
      <c r="J85" s="28"/>
      <c r="K85" s="82"/>
      <c r="L85" s="42"/>
      <c r="M85" s="87"/>
    </row>
    <row r="86" spans="2:24" x14ac:dyDescent="0.2">
      <c r="B86" s="101" t="s">
        <v>0</v>
      </c>
      <c r="C86" s="82"/>
      <c r="D86" s="43"/>
      <c r="E86" s="82"/>
      <c r="F86" s="181">
        <v>25</v>
      </c>
      <c r="G86" s="82"/>
      <c r="H86" s="144"/>
      <c r="I86" s="86"/>
      <c r="J86" s="64">
        <f>F86</f>
        <v>25</v>
      </c>
      <c r="K86" s="82"/>
      <c r="L86" s="101" t="s">
        <v>0</v>
      </c>
      <c r="M86" s="87"/>
    </row>
    <row r="87" spans="2:24" ht="15" thickBot="1" x14ac:dyDescent="0.25">
      <c r="B87" s="88" t="s">
        <v>1</v>
      </c>
      <c r="C87" s="82"/>
      <c r="D87" s="2"/>
      <c r="E87" s="82"/>
      <c r="F87" s="182">
        <v>0.02</v>
      </c>
      <c r="G87" s="82"/>
      <c r="H87" s="144"/>
      <c r="I87" s="86"/>
      <c r="J87" s="65">
        <f>F87</f>
        <v>0.02</v>
      </c>
      <c r="K87" s="82"/>
      <c r="L87" s="88" t="s">
        <v>1</v>
      </c>
      <c r="M87" s="87"/>
    </row>
    <row r="88" spans="2:24" x14ac:dyDescent="0.2">
      <c r="B88" s="82"/>
      <c r="C88" s="82"/>
      <c r="D88" s="2"/>
      <c r="E88" s="82"/>
      <c r="F88" s="2"/>
      <c r="G88" s="82"/>
      <c r="H88" s="144"/>
      <c r="I88" s="86"/>
      <c r="J88" s="2"/>
      <c r="K88" s="82"/>
      <c r="L88" s="2"/>
      <c r="M88" s="87"/>
    </row>
    <row r="89" spans="2:24" ht="15" x14ac:dyDescent="0.25">
      <c r="B89" s="149" t="s">
        <v>7</v>
      </c>
      <c r="C89" s="82"/>
      <c r="D89" s="44"/>
      <c r="E89" s="4"/>
      <c r="F89" s="150">
        <f>-PMT(F87,F86,F84,0)</f>
        <v>460.98423771305136</v>
      </c>
      <c r="G89" s="4"/>
      <c r="H89" s="144"/>
      <c r="I89" s="60"/>
      <c r="J89" s="71">
        <f>-PMT(J87,J86,J84,0)</f>
        <v>550.61971298699325</v>
      </c>
      <c r="K89" s="4"/>
      <c r="L89" s="164" t="s">
        <v>7</v>
      </c>
      <c r="M89" s="51"/>
    </row>
    <row r="90" spans="2:24" ht="15" thickBot="1" x14ac:dyDescent="0.25">
      <c r="H90" s="144"/>
      <c r="I90" s="95"/>
      <c r="L90" s="96"/>
      <c r="M90" s="96"/>
    </row>
    <row r="91" spans="2:24" ht="15" customHeight="1" x14ac:dyDescent="0.25">
      <c r="B91" s="220" t="s">
        <v>114</v>
      </c>
      <c r="C91" s="82"/>
      <c r="D91" s="43"/>
      <c r="E91" s="82"/>
      <c r="F91" s="150">
        <f>F89+F53+F45</f>
        <v>2267.9206480010525</v>
      </c>
      <c r="G91" s="82"/>
      <c r="H91" s="144"/>
      <c r="I91" s="86"/>
      <c r="J91" s="69">
        <f>J89+J53+J45</f>
        <v>2249.4574000618231</v>
      </c>
      <c r="K91" s="82"/>
      <c r="L91" s="246" t="s">
        <v>114</v>
      </c>
      <c r="M91" s="87"/>
      <c r="N91" s="272" t="s">
        <v>116</v>
      </c>
      <c r="O91" s="273"/>
      <c r="P91" s="273"/>
      <c r="Q91" s="273"/>
      <c r="R91" s="273"/>
      <c r="S91" s="273"/>
      <c r="T91" s="274"/>
      <c r="U91" s="152"/>
      <c r="V91" s="152"/>
      <c r="W91" s="152"/>
      <c r="X91" s="152"/>
    </row>
    <row r="92" spans="2:24" ht="15.75" thickBot="1" x14ac:dyDescent="0.3">
      <c r="B92" s="221"/>
      <c r="C92" s="82"/>
      <c r="D92" s="43"/>
      <c r="E92" s="6"/>
      <c r="F92" s="151">
        <f>F91/F43*100</f>
        <v>13.976337060904282</v>
      </c>
      <c r="G92" s="6"/>
      <c r="H92" s="145"/>
      <c r="I92" s="63"/>
      <c r="J92" s="70">
        <f>J91/J43*100</f>
        <v>13.862555047999569</v>
      </c>
      <c r="K92" s="6"/>
      <c r="L92" s="247"/>
      <c r="M92" s="55"/>
      <c r="N92" s="275"/>
      <c r="O92" s="276"/>
      <c r="P92" s="276"/>
      <c r="Q92" s="276"/>
      <c r="R92" s="276"/>
      <c r="S92" s="276"/>
      <c r="T92" s="277"/>
      <c r="U92" s="152"/>
      <c r="V92" s="152"/>
      <c r="W92" s="152"/>
      <c r="X92" s="152"/>
    </row>
    <row r="94" spans="2:24" ht="15.75" thickBot="1" x14ac:dyDescent="0.3">
      <c r="J94" s="199" t="s">
        <v>119</v>
      </c>
    </row>
    <row r="95" spans="2:24" x14ac:dyDescent="0.2">
      <c r="J95" s="200">
        <f>J21+J25</f>
        <v>980.13102040816329</v>
      </c>
      <c r="L95" s="202" t="s">
        <v>95</v>
      </c>
    </row>
    <row r="96" spans="2:24" x14ac:dyDescent="0.2">
      <c r="J96" s="201">
        <f>J49</f>
        <v>600</v>
      </c>
      <c r="L96" s="203" t="s">
        <v>45</v>
      </c>
    </row>
    <row r="97" spans="4:20" ht="15" thickBot="1" x14ac:dyDescent="0.25">
      <c r="D97" s="106"/>
      <c r="F97" s="106"/>
      <c r="J97" s="204">
        <f>-PMT(J87,J86,J72)</f>
        <v>509.64336225307744</v>
      </c>
      <c r="L97" s="204" t="s">
        <v>106</v>
      </c>
      <c r="N97" s="211" t="s">
        <v>115</v>
      </c>
      <c r="O97" s="212"/>
      <c r="P97" s="212"/>
      <c r="Q97" s="212"/>
      <c r="R97" s="212"/>
      <c r="S97" s="212"/>
      <c r="T97" s="213"/>
    </row>
    <row r="98" spans="4:20" ht="15.75" thickBot="1" x14ac:dyDescent="0.3">
      <c r="D98" s="108"/>
      <c r="J98" s="205">
        <f>J95+J96+J97</f>
        <v>2089.7743826612409</v>
      </c>
      <c r="L98" s="205" t="s">
        <v>96</v>
      </c>
    </row>
    <row r="99" spans="4:20" ht="15" thickBot="1" x14ac:dyDescent="0.25">
      <c r="D99" s="106"/>
    </row>
    <row r="100" spans="4:20" ht="15.75" thickBot="1" x14ac:dyDescent="0.3">
      <c r="D100" s="106"/>
      <c r="J100" s="205">
        <f>J39</f>
        <v>118.70666666666668</v>
      </c>
      <c r="L100" s="209" t="s">
        <v>107</v>
      </c>
    </row>
    <row r="101" spans="4:20" ht="15" thickBot="1" x14ac:dyDescent="0.25">
      <c r="D101" s="106"/>
    </row>
    <row r="102" spans="4:20" x14ac:dyDescent="0.2">
      <c r="J102" s="200">
        <f>-PMT(J87,J86,J73-J75)</f>
        <v>0</v>
      </c>
      <c r="L102" s="202" t="s">
        <v>61</v>
      </c>
    </row>
    <row r="103" spans="4:20" ht="15" thickBot="1" x14ac:dyDescent="0.25">
      <c r="J103" s="204">
        <f>-PMT(J87,J86,J81-J82)</f>
        <v>40.97635073391578</v>
      </c>
      <c r="L103" s="204" t="s">
        <v>33</v>
      </c>
    </row>
    <row r="104" spans="4:20" ht="15.75" thickBot="1" x14ac:dyDescent="0.3">
      <c r="J104" s="205">
        <f>J103+J102</f>
        <v>40.97635073391578</v>
      </c>
      <c r="L104" s="205" t="s">
        <v>105</v>
      </c>
      <c r="N104" s="278" t="s">
        <v>124</v>
      </c>
      <c r="O104" s="278"/>
      <c r="P104" s="278"/>
      <c r="Q104" s="278"/>
      <c r="R104" s="278"/>
      <c r="S104" s="278"/>
      <c r="T104" s="278"/>
    </row>
    <row r="106" spans="4:20" x14ac:dyDescent="0.2">
      <c r="J106" s="106"/>
    </row>
    <row r="108" spans="4:20" x14ac:dyDescent="0.2">
      <c r="J108" s="106"/>
    </row>
  </sheetData>
  <mergeCells count="39">
    <mergeCell ref="N104:T104"/>
    <mergeCell ref="N12:T12"/>
    <mergeCell ref="N80:T82"/>
    <mergeCell ref="N73:T75"/>
    <mergeCell ref="N56:T57"/>
    <mergeCell ref="N17:T19"/>
    <mergeCell ref="R23:T23"/>
    <mergeCell ref="N49:T49"/>
    <mergeCell ref="N50:T50"/>
    <mergeCell ref="N51:T51"/>
    <mergeCell ref="N23:Q23"/>
    <mergeCell ref="N22:Q22"/>
    <mergeCell ref="N21:Q21"/>
    <mergeCell ref="H6:H7"/>
    <mergeCell ref="J6:L6"/>
    <mergeCell ref="B2:L3"/>
    <mergeCell ref="L45:L46"/>
    <mergeCell ref="H10:H46"/>
    <mergeCell ref="L22:L23"/>
    <mergeCell ref="J22:J23"/>
    <mergeCell ref="B45:B46"/>
    <mergeCell ref="N31:Q33"/>
    <mergeCell ref="L49:L51"/>
    <mergeCell ref="L56:L57"/>
    <mergeCell ref="L91:L92"/>
    <mergeCell ref="Y14:AA14"/>
    <mergeCell ref="N25:Q27"/>
    <mergeCell ref="N35:Q37"/>
    <mergeCell ref="N39:T40"/>
    <mergeCell ref="Y26:Z26"/>
    <mergeCell ref="Y27:Z27"/>
    <mergeCell ref="N91:T92"/>
    <mergeCell ref="B56:B57"/>
    <mergeCell ref="B91:B92"/>
    <mergeCell ref="J49:J51"/>
    <mergeCell ref="H56:H64"/>
    <mergeCell ref="B74:B75"/>
    <mergeCell ref="B69:F69"/>
    <mergeCell ref="J69:L69"/>
  </mergeCells>
  <dataValidations count="1">
    <dataValidation type="list" allowBlank="1" showInputMessage="1" showErrorMessage="1" sqref="D7" xr:uid="{252D6AE3-3810-405B-B181-D6E1D580570D}">
      <formula1>$Z$10:$Z$11</formula1>
    </dataValidation>
  </dataValidations>
  <hyperlinks>
    <hyperlink ref="N23" r:id="rId1" xr:uid="{7182038F-6BB1-4EDC-B2C2-41771AC36EC5}"/>
    <hyperlink ref="N22" r:id="rId2" xr:uid="{2A2B3736-CB33-49AC-A4BA-FB07B1650EFD}"/>
  </hyperlinks>
  <pageMargins left="0.7" right="0.7" top="0.78740157499999996" bottom="0.78740157499999996"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K30" sqref="K30"/>
    </sheetView>
  </sheetViews>
  <sheetFormatPr baseColWidth="10" defaultRowHeight="15" x14ac:dyDescent="0.25"/>
  <cols>
    <col min="1" max="1" width="55.5703125" bestFit="1" customWidth="1"/>
    <col min="2" max="2" width="11.42578125" bestFit="1" customWidth="1"/>
    <col min="3" max="8" width="10.7109375" bestFit="1" customWidth="1"/>
    <col min="10" max="10" width="14.85546875" bestFit="1" customWidth="1"/>
  </cols>
  <sheetData>
    <row r="1" spans="1:16" x14ac:dyDescent="0.25">
      <c r="A1" s="8"/>
      <c r="B1" s="8"/>
      <c r="C1" s="8"/>
      <c r="D1" s="8"/>
      <c r="E1" s="8"/>
      <c r="F1" s="8"/>
      <c r="G1" s="8"/>
      <c r="H1" s="8"/>
    </row>
    <row r="2" spans="1:16" ht="15.75" thickBot="1" x14ac:dyDescent="0.3">
      <c r="A2" s="5" t="s">
        <v>86</v>
      </c>
      <c r="B2" s="8"/>
      <c r="C2" s="8"/>
      <c r="D2" s="8"/>
      <c r="E2" s="8"/>
      <c r="F2" s="8"/>
      <c r="G2" s="8"/>
      <c r="H2" s="8"/>
      <c r="J2" t="s">
        <v>93</v>
      </c>
      <c r="L2" s="198" t="s">
        <v>94</v>
      </c>
    </row>
    <row r="3" spans="1:16" s="1" customFormat="1" x14ac:dyDescent="0.25">
      <c r="A3" s="184" t="s">
        <v>12</v>
      </c>
      <c r="B3" s="185">
        <v>8</v>
      </c>
      <c r="C3" s="185">
        <v>12</v>
      </c>
      <c r="D3" s="185">
        <v>16</v>
      </c>
      <c r="E3" s="185">
        <v>19</v>
      </c>
      <c r="F3" s="185">
        <v>23</v>
      </c>
      <c r="G3" s="185">
        <v>25</v>
      </c>
      <c r="H3" s="186">
        <v>38</v>
      </c>
      <c r="J3" s="197">
        <f>IF($L$3&lt;=$B$3,B3,IF($L$3&lt;=$C$3,C3,IF($L$3&lt;=$D$3,D3,IF($L$3&lt;=$E$3,E3,IF($L$3&lt;=$F$3,F3,IF($L$3&lt;=$G$3,G3,H3))))))</f>
        <v>8</v>
      </c>
      <c r="L3" s="214">
        <f>Ergebnis!D12</f>
        <v>4.59</v>
      </c>
    </row>
    <row r="4" spans="1:16" s="1" customFormat="1" x14ac:dyDescent="0.25">
      <c r="A4" s="301" t="s">
        <v>90</v>
      </c>
      <c r="B4" s="187">
        <f t="shared" ref="B4:H4" si="0">SUM(B9:B12,B13)*B5</f>
        <v>121.50007694999996</v>
      </c>
      <c r="C4" s="187">
        <f t="shared" si="0"/>
        <v>121.50007694999996</v>
      </c>
      <c r="D4" s="187">
        <f t="shared" si="0"/>
        <v>121.50007694999996</v>
      </c>
      <c r="E4" s="187">
        <f t="shared" si="0"/>
        <v>121.50007694999996</v>
      </c>
      <c r="F4" s="187">
        <f t="shared" si="0"/>
        <v>125.62091009999999</v>
      </c>
      <c r="G4" s="187">
        <f t="shared" si="0"/>
        <v>125.59118984999998</v>
      </c>
      <c r="H4" s="188">
        <f t="shared" si="0"/>
        <v>130.58724419999999</v>
      </c>
      <c r="J4" s="215">
        <f t="shared" ref="J4:J8" si="1">IF($L$3&lt;=$B$3,B4,IF($L$3&lt;=$C$3,C4,IF($L$3&lt;=$D$3,D4,IF($L$3&lt;=$E$3,E4,IF($L$3&lt;=$F$3,F4,IF($L$3&lt;=$G$3,G4,H4))))))</f>
        <v>121.50007694999996</v>
      </c>
    </row>
    <row r="5" spans="1:16" s="1" customFormat="1" x14ac:dyDescent="0.25">
      <c r="A5" s="301"/>
      <c r="B5" s="189">
        <v>1.35E-2</v>
      </c>
      <c r="C5" s="189">
        <f>B5</f>
        <v>1.35E-2</v>
      </c>
      <c r="D5" s="189">
        <f t="shared" ref="D5:H5" si="2">C5</f>
        <v>1.35E-2</v>
      </c>
      <c r="E5" s="189">
        <f t="shared" si="2"/>
        <v>1.35E-2</v>
      </c>
      <c r="F5" s="189">
        <f t="shared" si="2"/>
        <v>1.35E-2</v>
      </c>
      <c r="G5" s="189">
        <f t="shared" si="2"/>
        <v>1.35E-2</v>
      </c>
      <c r="H5" s="190">
        <f t="shared" si="2"/>
        <v>1.35E-2</v>
      </c>
      <c r="J5" s="216">
        <f t="shared" si="1"/>
        <v>1.35E-2</v>
      </c>
    </row>
    <row r="6" spans="1:16" s="1" customFormat="1" x14ac:dyDescent="0.25">
      <c r="A6" s="191" t="s">
        <v>91</v>
      </c>
      <c r="B6" s="187">
        <v>129.40853333333334</v>
      </c>
      <c r="C6" s="187">
        <v>129.40853333333334</v>
      </c>
      <c r="D6" s="187">
        <v>129.40853333333334</v>
      </c>
      <c r="E6" s="187">
        <v>129.56323333333333</v>
      </c>
      <c r="F6" s="187">
        <v>129.56323333333333</v>
      </c>
      <c r="G6" s="187">
        <v>129.56323333333333</v>
      </c>
      <c r="H6" s="188">
        <v>137.83769999999998</v>
      </c>
      <c r="J6" s="215">
        <f t="shared" si="1"/>
        <v>129.40853333333334</v>
      </c>
    </row>
    <row r="7" spans="1:16" s="1" customFormat="1" x14ac:dyDescent="0.25">
      <c r="A7" s="301" t="s">
        <v>92</v>
      </c>
      <c r="B7" s="192">
        <f t="shared" ref="B7:H7" si="3">SUM(B9:B13)</f>
        <v>9000.0056999999979</v>
      </c>
      <c r="C7" s="192">
        <f t="shared" si="3"/>
        <v>9000.0056999999979</v>
      </c>
      <c r="D7" s="192">
        <f t="shared" si="3"/>
        <v>9000.0056999999979</v>
      </c>
      <c r="E7" s="192">
        <f t="shared" si="3"/>
        <v>9000.0056999999979</v>
      </c>
      <c r="F7" s="192">
        <f t="shared" si="3"/>
        <v>9305.2525999999998</v>
      </c>
      <c r="G7" s="192">
        <f t="shared" si="3"/>
        <v>9303.0510999999988</v>
      </c>
      <c r="H7" s="193">
        <f t="shared" si="3"/>
        <v>9673.1291999999994</v>
      </c>
      <c r="J7" s="217">
        <f t="shared" si="1"/>
        <v>9000.0056999999979</v>
      </c>
    </row>
    <row r="8" spans="1:16" s="1" customFormat="1" ht="15.75" thickBot="1" x14ac:dyDescent="0.3">
      <c r="A8" s="302"/>
      <c r="B8" s="194">
        <f>B7/B3</f>
        <v>1125.0007124999997</v>
      </c>
      <c r="C8" s="194">
        <f t="shared" ref="C8:H8" si="4">C7/C3</f>
        <v>750.00047499999982</v>
      </c>
      <c r="D8" s="194">
        <f t="shared" si="4"/>
        <v>562.50035624999987</v>
      </c>
      <c r="E8" s="194">
        <f t="shared" si="4"/>
        <v>473.68451052631571</v>
      </c>
      <c r="F8" s="194">
        <f t="shared" si="4"/>
        <v>404.57619999999997</v>
      </c>
      <c r="G8" s="194">
        <f t="shared" si="4"/>
        <v>372.12204399999996</v>
      </c>
      <c r="H8" s="195">
        <f t="shared" si="4"/>
        <v>254.55603157894734</v>
      </c>
      <c r="J8" s="218">
        <f t="shared" si="1"/>
        <v>1125.0007124999997</v>
      </c>
    </row>
    <row r="9" spans="1:16" x14ac:dyDescent="0.25">
      <c r="A9" s="9" t="s">
        <v>8</v>
      </c>
      <c r="B9" s="10">
        <v>6021.6974999999993</v>
      </c>
      <c r="C9" s="10">
        <v>6021.6974999999993</v>
      </c>
      <c r="D9" s="10">
        <v>6021.6974999999993</v>
      </c>
      <c r="E9" s="10">
        <v>6021.6974999999993</v>
      </c>
      <c r="F9" s="10">
        <v>6198.71</v>
      </c>
      <c r="G9" s="10">
        <v>6198.71</v>
      </c>
      <c r="H9" s="15">
        <v>6399.4986999999992</v>
      </c>
      <c r="J9" s="183"/>
      <c r="K9" s="183"/>
      <c r="L9" s="183"/>
      <c r="M9" s="183"/>
      <c r="N9" s="183"/>
      <c r="O9" s="183"/>
      <c r="P9" s="183"/>
    </row>
    <row r="10" spans="1:16" x14ac:dyDescent="0.25">
      <c r="A10" s="9" t="s">
        <v>9</v>
      </c>
      <c r="B10" s="10">
        <v>160.04310000000001</v>
      </c>
      <c r="C10" s="10">
        <v>160.04310000000001</v>
      </c>
      <c r="D10" s="10">
        <v>160.04310000000001</v>
      </c>
      <c r="E10" s="10">
        <v>160.04310000000001</v>
      </c>
      <c r="F10" s="10">
        <v>160.04310000000001</v>
      </c>
      <c r="G10" s="10">
        <v>160.04310000000001</v>
      </c>
      <c r="H10" s="15">
        <v>167.1831</v>
      </c>
      <c r="J10" s="183"/>
      <c r="K10" s="183"/>
      <c r="L10" s="183"/>
      <c r="M10" s="183"/>
      <c r="N10" s="183"/>
      <c r="O10" s="183"/>
      <c r="P10" s="183"/>
    </row>
    <row r="11" spans="1:16" x14ac:dyDescent="0.25">
      <c r="A11" s="9" t="s">
        <v>10</v>
      </c>
      <c r="B11" s="10">
        <v>261.40729999999996</v>
      </c>
      <c r="C11" s="10">
        <v>261.40729999999996</v>
      </c>
      <c r="D11" s="10">
        <v>261.40729999999996</v>
      </c>
      <c r="E11" s="10">
        <v>261.40729999999996</v>
      </c>
      <c r="F11" s="10">
        <v>261.40729999999996</v>
      </c>
      <c r="G11" s="10">
        <v>261.40729999999996</v>
      </c>
      <c r="H11" s="15">
        <v>261.40729999999996</v>
      </c>
      <c r="J11" s="183"/>
      <c r="K11" s="183"/>
      <c r="L11" s="183"/>
      <c r="M11" s="183"/>
      <c r="N11" s="183"/>
      <c r="O11" s="183"/>
      <c r="P11" s="183"/>
    </row>
    <row r="12" spans="1:16" x14ac:dyDescent="0.25">
      <c r="A12" s="9" t="s">
        <v>89</v>
      </c>
      <c r="B12" s="10">
        <v>1046.3193999999999</v>
      </c>
      <c r="C12" s="10">
        <v>1046.3193999999999</v>
      </c>
      <c r="D12" s="10">
        <v>1046.3193999999999</v>
      </c>
      <c r="E12" s="10">
        <v>1046.3193999999999</v>
      </c>
      <c r="F12" s="10">
        <v>1140.02</v>
      </c>
      <c r="G12" s="10">
        <v>1140.02</v>
      </c>
      <c r="H12" s="15">
        <v>1265.2912999999999</v>
      </c>
      <c r="J12" s="183"/>
      <c r="K12" s="183"/>
      <c r="L12" s="183"/>
      <c r="M12" s="183"/>
      <c r="N12" s="183"/>
      <c r="O12" s="183"/>
      <c r="P12" s="183"/>
    </row>
    <row r="13" spans="1:16" ht="15.75" thickBot="1" x14ac:dyDescent="0.3">
      <c r="A13" s="11" t="s">
        <v>11</v>
      </c>
      <c r="B13" s="12">
        <v>1510.5383999999999</v>
      </c>
      <c r="C13" s="12">
        <v>1510.5383999999999</v>
      </c>
      <c r="D13" s="12">
        <v>1510.5383999999999</v>
      </c>
      <c r="E13" s="12">
        <v>1510.5383999999999</v>
      </c>
      <c r="F13" s="12">
        <v>1545.0722000000001</v>
      </c>
      <c r="G13" s="12">
        <v>1542.8706999999999</v>
      </c>
      <c r="H13" s="16">
        <v>1579.7487999999998</v>
      </c>
      <c r="J13" s="183"/>
      <c r="K13" s="183"/>
      <c r="L13" s="183"/>
      <c r="M13" s="183"/>
      <c r="N13" s="183"/>
      <c r="O13" s="183"/>
      <c r="P13" s="183"/>
    </row>
    <row r="14" spans="1:16" x14ac:dyDescent="0.25">
      <c r="A14" s="13"/>
      <c r="B14" s="14"/>
      <c r="C14" s="14"/>
      <c r="D14" s="14"/>
      <c r="E14" s="14"/>
      <c r="F14" s="14"/>
      <c r="G14" s="14"/>
      <c r="H14" s="14"/>
    </row>
    <row r="15" spans="1:16" s="1" customFormat="1" x14ac:dyDescent="0.25">
      <c r="A15" s="5" t="s">
        <v>87</v>
      </c>
    </row>
    <row r="16" spans="1:16" s="1" customFormat="1" x14ac:dyDescent="0.25">
      <c r="A16" s="219" t="s">
        <v>13</v>
      </c>
      <c r="B16" s="303" t="s">
        <v>121</v>
      </c>
      <c r="C16" s="304"/>
      <c r="D16" s="304"/>
      <c r="E16" s="304"/>
      <c r="F16" s="304"/>
      <c r="G16" s="304"/>
      <c r="H16" s="305"/>
    </row>
    <row r="17" spans="1:8" s="1" customFormat="1" x14ac:dyDescent="0.25">
      <c r="A17" s="219" t="s">
        <v>23</v>
      </c>
      <c r="B17" s="306"/>
      <c r="C17" s="307"/>
      <c r="D17" s="307"/>
      <c r="E17" s="307"/>
      <c r="F17" s="307"/>
      <c r="G17" s="307"/>
      <c r="H17" s="308"/>
    </row>
    <row r="18" spans="1:8" s="1" customFormat="1" x14ac:dyDescent="0.25">
      <c r="A18" s="219" t="s">
        <v>88</v>
      </c>
      <c r="B18" s="306"/>
      <c r="C18" s="307"/>
      <c r="D18" s="307"/>
      <c r="E18" s="307"/>
      <c r="F18" s="307"/>
      <c r="G18" s="307"/>
      <c r="H18" s="308"/>
    </row>
    <row r="19" spans="1:8" s="1" customFormat="1" x14ac:dyDescent="0.25">
      <c r="A19" s="219" t="s">
        <v>24</v>
      </c>
      <c r="B19" s="306"/>
      <c r="C19" s="307"/>
      <c r="D19" s="307"/>
      <c r="E19" s="307"/>
      <c r="F19" s="307"/>
      <c r="G19" s="307"/>
      <c r="H19" s="308"/>
    </row>
    <row r="20" spans="1:8" s="1" customFormat="1" x14ac:dyDescent="0.25">
      <c r="A20" s="219" t="s">
        <v>14</v>
      </c>
      <c r="B20" s="306"/>
      <c r="C20" s="307"/>
      <c r="D20" s="307"/>
      <c r="E20" s="307"/>
      <c r="F20" s="307"/>
      <c r="G20" s="307"/>
      <c r="H20" s="308"/>
    </row>
    <row r="21" spans="1:8" s="1" customFormat="1" x14ac:dyDescent="0.25">
      <c r="A21" s="219" t="s">
        <v>15</v>
      </c>
      <c r="B21" s="306"/>
      <c r="C21" s="307"/>
      <c r="D21" s="307"/>
      <c r="E21" s="307"/>
      <c r="F21" s="307"/>
      <c r="G21" s="307"/>
      <c r="H21" s="308"/>
    </row>
    <row r="22" spans="1:8" s="1" customFormat="1" x14ac:dyDescent="0.25">
      <c r="A22" s="219" t="s">
        <v>16</v>
      </c>
      <c r="B22" s="306"/>
      <c r="C22" s="307"/>
      <c r="D22" s="307"/>
      <c r="E22" s="307"/>
      <c r="F22" s="307"/>
      <c r="G22" s="307"/>
      <c r="H22" s="308"/>
    </row>
    <row r="23" spans="1:8" s="1" customFormat="1" x14ac:dyDescent="0.25">
      <c r="A23" s="219" t="s">
        <v>17</v>
      </c>
      <c r="B23" s="306"/>
      <c r="C23" s="307"/>
      <c r="D23" s="307"/>
      <c r="E23" s="307"/>
      <c r="F23" s="307"/>
      <c r="G23" s="307"/>
      <c r="H23" s="308"/>
    </row>
    <row r="24" spans="1:8" s="1" customFormat="1" x14ac:dyDescent="0.25">
      <c r="A24" s="219" t="s">
        <v>18</v>
      </c>
      <c r="B24" s="306"/>
      <c r="C24" s="307"/>
      <c r="D24" s="307"/>
      <c r="E24" s="307"/>
      <c r="F24" s="307"/>
      <c r="G24" s="307"/>
      <c r="H24" s="308"/>
    </row>
    <row r="25" spans="1:8" s="1" customFormat="1" x14ac:dyDescent="0.25">
      <c r="A25" s="219" t="s">
        <v>19</v>
      </c>
      <c r="B25" s="306"/>
      <c r="C25" s="307"/>
      <c r="D25" s="307"/>
      <c r="E25" s="307"/>
      <c r="F25" s="307"/>
      <c r="G25" s="307"/>
      <c r="H25" s="308"/>
    </row>
    <row r="26" spans="1:8" s="1" customFormat="1" x14ac:dyDescent="0.25">
      <c r="A26" s="219" t="s">
        <v>20</v>
      </c>
      <c r="B26" s="306"/>
      <c r="C26" s="307"/>
      <c r="D26" s="307"/>
      <c r="E26" s="307"/>
      <c r="F26" s="307"/>
      <c r="G26" s="307"/>
      <c r="H26" s="308"/>
    </row>
    <row r="27" spans="1:8" s="1" customFormat="1" x14ac:dyDescent="0.25">
      <c r="A27" s="219" t="s">
        <v>21</v>
      </c>
      <c r="B27" s="309"/>
      <c r="C27" s="310"/>
      <c r="D27" s="310"/>
      <c r="E27" s="310"/>
      <c r="F27" s="310"/>
      <c r="G27" s="310"/>
      <c r="H27" s="311"/>
    </row>
    <row r="28" spans="1:8" s="1" customFormat="1" ht="15.75" thickBot="1" x14ac:dyDescent="0.3"/>
    <row r="29" spans="1:8" s="1" customFormat="1" ht="15.75" thickBot="1" x14ac:dyDescent="0.3">
      <c r="A29" s="196" t="s">
        <v>22</v>
      </c>
      <c r="B29" s="210">
        <f>B7</f>
        <v>9000.0056999999979</v>
      </c>
      <c r="C29" s="210">
        <f t="shared" ref="C29:H29" si="5">C7</f>
        <v>9000.0056999999979</v>
      </c>
      <c r="D29" s="210">
        <f t="shared" si="5"/>
        <v>9000.0056999999979</v>
      </c>
      <c r="E29" s="210">
        <f t="shared" si="5"/>
        <v>9000.0056999999979</v>
      </c>
      <c r="F29" s="210">
        <f t="shared" si="5"/>
        <v>9305.2525999999998</v>
      </c>
      <c r="G29" s="210">
        <f t="shared" si="5"/>
        <v>9303.0510999999988</v>
      </c>
      <c r="H29" s="210">
        <f t="shared" si="5"/>
        <v>9673.1291999999994</v>
      </c>
    </row>
  </sheetData>
  <mergeCells count="3">
    <mergeCell ref="A4:A5"/>
    <mergeCell ref="A7:A8"/>
    <mergeCell ref="B16:H27"/>
  </mergeCells>
  <phoneticPr fontId="16"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Ergebnis</vt:lpstr>
      <vt:lpstr>Daten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Ap-Wärme</dc:creator>
  <cp:lastModifiedBy>Hubert Daubmeier</cp:lastModifiedBy>
  <dcterms:created xsi:type="dcterms:W3CDTF">2014-08-19T13:12:21Z</dcterms:created>
  <dcterms:modified xsi:type="dcterms:W3CDTF">2021-08-05T13:04:11Z</dcterms:modified>
</cp:coreProperties>
</file>