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64d8bd3b43466be/Nahwärme Joshofen/5.8.2021/"/>
    </mc:Choice>
  </mc:AlternateContent>
  <xr:revisionPtr revIDLastSave="0" documentId="8_{9A3B9EDD-13C3-4DF4-8310-E5F81A743066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Ergebnis" sheetId="5" r:id="rId1"/>
    <sheet name="Daten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6" i="5" l="1"/>
  <c r="D38" i="5" l="1"/>
  <c r="D39" i="5" s="1"/>
  <c r="D43" i="5"/>
  <c r="D36" i="5"/>
  <c r="H26" i="5"/>
  <c r="H25" i="5"/>
  <c r="H19" i="5"/>
  <c r="H20" i="5" l="1"/>
  <c r="H18" i="5" s="1"/>
  <c r="H24" i="5" l="1"/>
  <c r="B8" i="3"/>
  <c r="B4" i="3"/>
  <c r="D71" i="5"/>
  <c r="D72" i="5" s="1"/>
  <c r="D70" i="5" l="1"/>
  <c r="D20" i="5" l="1"/>
  <c r="D18" i="5" l="1"/>
  <c r="D21" i="5" s="1"/>
  <c r="L19" i="5" s="1"/>
  <c r="D24" i="5"/>
  <c r="D23" i="5" s="1"/>
  <c r="L15" i="5" l="1"/>
  <c r="D29" i="5"/>
  <c r="D28" i="5" s="1"/>
  <c r="L48" i="5"/>
  <c r="L30" i="5" s="1"/>
  <c r="B7" i="3"/>
  <c r="B29" i="3" s="1"/>
  <c r="H104" i="5"/>
  <c r="L49" i="5"/>
  <c r="H49" i="5" l="1"/>
  <c r="D50" i="5"/>
  <c r="H52" i="5"/>
  <c r="L52" i="5" s="1"/>
  <c r="H48" i="5"/>
  <c r="L102" i="5"/>
  <c r="L104" i="5" s="1"/>
  <c r="L95" i="5"/>
  <c r="L109" i="5"/>
  <c r="L108" i="5"/>
  <c r="H10" i="5"/>
  <c r="L10" i="5" s="1"/>
  <c r="H13" i="5"/>
  <c r="L13" i="5" s="1"/>
  <c r="D12" i="5"/>
  <c r="D57" i="5" l="1"/>
  <c r="D53" i="5"/>
  <c r="D54" i="5" s="1"/>
  <c r="D60" i="5" s="1"/>
  <c r="L125" i="5"/>
  <c r="L119" i="5"/>
  <c r="H12" i="5"/>
  <c r="L12" i="5" s="1"/>
  <c r="L66" i="5" s="1"/>
  <c r="L118" i="5" s="1"/>
  <c r="L83" i="5" s="1"/>
  <c r="L3" i="3"/>
  <c r="L50" i="5"/>
  <c r="H50" i="5"/>
  <c r="L97" i="5"/>
  <c r="L99" i="5" s="1"/>
  <c r="L106" i="5" s="1"/>
  <c r="L111" i="5" s="1"/>
  <c r="L124" i="5" l="1"/>
  <c r="L126" i="5" s="1"/>
  <c r="J3" i="3"/>
  <c r="J5" i="3"/>
  <c r="J6" i="3"/>
  <c r="H53" i="5"/>
  <c r="L53" i="5" s="1"/>
  <c r="L54" i="5" s="1"/>
  <c r="D56" i="5"/>
  <c r="D62" i="5" s="1"/>
  <c r="D63" i="5" s="1"/>
  <c r="H57" i="5"/>
  <c r="H54" i="5"/>
  <c r="H15" i="5" s="1"/>
  <c r="H66" i="5" l="1"/>
  <c r="H56" i="5"/>
  <c r="L57" i="5"/>
  <c r="L56" i="5" s="1"/>
  <c r="L122" i="5" s="1"/>
  <c r="L86" i="5" s="1"/>
  <c r="C7" i="3"/>
  <c r="D7" i="3"/>
  <c r="D29" i="3" s="1"/>
  <c r="E7" i="3"/>
  <c r="F7" i="3"/>
  <c r="F29" i="3" s="1"/>
  <c r="G7" i="3"/>
  <c r="G29" i="3" s="1"/>
  <c r="H7" i="3"/>
  <c r="H29" i="3" s="1"/>
  <c r="C29" i="3" l="1"/>
  <c r="E29" i="3"/>
  <c r="J7" i="3"/>
  <c r="H94" i="5" s="1"/>
  <c r="L23" i="5"/>
  <c r="F8" i="3"/>
  <c r="E8" i="3"/>
  <c r="J8" i="3" s="1"/>
  <c r="D8" i="3"/>
  <c r="C8" i="3"/>
  <c r="H8" i="3"/>
  <c r="G8" i="3"/>
  <c r="H97" i="5" l="1"/>
  <c r="H99" i="5" s="1"/>
  <c r="H106" i="5" s="1"/>
  <c r="H111" i="5" s="1"/>
  <c r="L60" i="5"/>
  <c r="H71" i="5"/>
  <c r="L75" i="5"/>
  <c r="L29" i="5" l="1"/>
  <c r="L28" i="5" s="1"/>
  <c r="H72" i="5"/>
  <c r="H70" i="5"/>
  <c r="H21" i="5"/>
  <c r="H23" i="5"/>
  <c r="H29" i="5" l="1"/>
  <c r="H28" i="5" s="1"/>
  <c r="H62" i="5" s="1"/>
  <c r="H60" i="5"/>
  <c r="H63" i="5" l="1"/>
  <c r="L62" i="5"/>
  <c r="L117" i="5"/>
  <c r="C4" i="3"/>
  <c r="H4" i="3"/>
  <c r="D4" i="3"/>
  <c r="G4" i="3"/>
  <c r="E4" i="3"/>
  <c r="J4" i="3" s="1"/>
  <c r="D75" i="5" s="1"/>
  <c r="F4" i="3"/>
  <c r="H67" i="5" l="1"/>
  <c r="H75" i="5" s="1"/>
  <c r="D78" i="5"/>
  <c r="D79" i="5" s="1"/>
  <c r="L120" i="5"/>
  <c r="L82" i="5"/>
  <c r="L84" i="5" s="1"/>
  <c r="L63" i="5"/>
  <c r="L78" i="5"/>
  <c r="L79" i="5" s="1"/>
  <c r="L113" i="5"/>
  <c r="H78" i="5" l="1"/>
  <c r="H79" i="5" s="1"/>
  <c r="H113" i="5"/>
  <c r="H114" i="5" s="1"/>
  <c r="L114" i="5"/>
</calcChain>
</file>

<file path=xl/sharedStrings.xml><?xml version="1.0" encoding="utf-8"?>
<sst xmlns="http://schemas.openxmlformats.org/spreadsheetml/2006/main" count="173" uniqueCount="133">
  <si>
    <t>Nutzungsdauer</t>
  </si>
  <si>
    <t>Zinssatz (kalkulatorisch)</t>
  </si>
  <si>
    <t>zu beheizende Fläche</t>
  </si>
  <si>
    <t>Brennwert</t>
  </si>
  <si>
    <t>Betriebsgebundene Kosten</t>
  </si>
  <si>
    <t>Verbrauchsgebundene Kosten</t>
  </si>
  <si>
    <t>#</t>
  </si>
  <si>
    <t>Kapitalgebundene Kosten</t>
  </si>
  <si>
    <t>• Wasseraufbereitung</t>
  </si>
  <si>
    <t>• Pauschalen</t>
  </si>
  <si>
    <t>Gebäudeheizlast / Kesselleistung:</t>
  </si>
  <si>
    <t>• Hydraulischer Abgleich (zwingend für die Förderung)</t>
  </si>
  <si>
    <t>• Heizungspumpe (optional, falls notwendig)</t>
  </si>
  <si>
    <t>• Heizungsmischer (optional, falls notwendig)</t>
  </si>
  <si>
    <t>• Mischer Stellmotor (optional, falls notwendig)</t>
  </si>
  <si>
    <t>• Zirkulationspumpe (optional, falls notwendig)</t>
  </si>
  <si>
    <t>• Absperrungen Heizung (optional, falls notwendig)</t>
  </si>
  <si>
    <t>• Absperrungen Kaltwasser (optional, falls notwendig)</t>
  </si>
  <si>
    <t>• Schlammabscheider (optional)</t>
  </si>
  <si>
    <t>• ….</t>
  </si>
  <si>
    <t>Investitionskosten für Vergleichsberechnung</t>
  </si>
  <si>
    <t>• Demontage der Altanalge (optional, falls notwendig)</t>
  </si>
  <si>
    <t>• Ausdehnungsgefäß (optional, falls notwendig)</t>
  </si>
  <si>
    <t>alle Angaben sind Bruttopreise</t>
  </si>
  <si>
    <t>Stromkosten für Kesselbetrieb</t>
  </si>
  <si>
    <t>Strompreis</t>
  </si>
  <si>
    <t>Wartungskosten</t>
  </si>
  <si>
    <t>ø Reparaturkosten (25 Jahre)</t>
  </si>
  <si>
    <t>ø Schornsteinfegerkosten</t>
  </si>
  <si>
    <t>Verbrauchs- und Betriebskosten</t>
  </si>
  <si>
    <t>Zusatzleistungen beim Heizungseinbau</t>
  </si>
  <si>
    <t>Zusatzleistungen bei der Heizungsoptimierung</t>
  </si>
  <si>
    <t>Förderung für Heizungsoptimierung (20%)</t>
  </si>
  <si>
    <t>Heizwert</t>
  </si>
  <si>
    <t>Wärmebedarf pro Jahr</t>
  </si>
  <si>
    <t>Heizleistung pro Quadratmeter des Gebäudes</t>
  </si>
  <si>
    <t>Leistungspreis</t>
  </si>
  <si>
    <t>Arbeitspreis</t>
  </si>
  <si>
    <t>Jahresnutzungsgrad Wärmetauscher</t>
  </si>
  <si>
    <t>Nahwärme</t>
  </si>
  <si>
    <t>Kesseltyp:</t>
  </si>
  <si>
    <t>Nieder-
temperatur</t>
  </si>
  <si>
    <t>Kesseltyp</t>
  </si>
  <si>
    <t>Jahresnutzungsgrad</t>
  </si>
  <si>
    <t>Typ</t>
  </si>
  <si>
    <t>Einmalbeitrag bei Anschluss an die Nahwärme</t>
  </si>
  <si>
    <t>Förderung ohne / mit Heizöltausch (35% / 45%)</t>
  </si>
  <si>
    <t>Zusatzleistungen beim Nahwärmeanschluss</t>
  </si>
  <si>
    <t>Gesamtinvestition nach Förderung</t>
  </si>
  <si>
    <t>Die folgenden Kosten fallen alle 20 - 30 Jahre bei der Heizungserneuerung an.</t>
  </si>
  <si>
    <r>
      <t>Scheitholzverbrauch pro Jahr</t>
    </r>
    <r>
      <rPr>
        <sz val="11"/>
        <color rgb="FF000000"/>
        <rFont val="Arial"/>
        <family val="2"/>
      </rPr>
      <t xml:space="preserve"> (Kachelofen)</t>
    </r>
  </si>
  <si>
    <t>Jahresnutzungsgrad Kachel-/Schwedenofen</t>
  </si>
  <si>
    <t>Brennstoffkosten Kachel-/Schwedenofen</t>
  </si>
  <si>
    <t>Anteil Hartholz</t>
  </si>
  <si>
    <t>Anteil Weichholz</t>
  </si>
  <si>
    <t>Energieinhalt je Ster</t>
  </si>
  <si>
    <t>ø Heizwert Hartholz:</t>
  </si>
  <si>
    <t>ø Heizwert Weichholz:</t>
  </si>
  <si>
    <t>Gesamtwärmeverbrauch des Gebäudes</t>
  </si>
  <si>
    <t>Scheitholzpreis (ofenfertig)</t>
  </si>
  <si>
    <t>(nur für Zusatzleistungen)</t>
  </si>
  <si>
    <t>Förderung der Zusatzleistungen</t>
  </si>
  <si>
    <t>Einzelofen (Kachel- / Schwedenofen)</t>
  </si>
  <si>
    <t>hydraulischer Abgleich (Schätzkostenansatz)</t>
  </si>
  <si>
    <t>Zusatzleistungen bei Heizungseinbau</t>
  </si>
  <si>
    <t>• Brauchwarmwasserspeicher (optional, falls notwendig)</t>
  </si>
  <si>
    <t>Instandsetzungskosten / Reparaturen</t>
  </si>
  <si>
    <t>Inspektions- und Wartungskosten</t>
  </si>
  <si>
    <t>Investitionskosten Heizzentrale</t>
  </si>
  <si>
    <t>für Berechnung</t>
  </si>
  <si>
    <t>Gebäude</t>
  </si>
  <si>
    <t>Wärmeverbrauch (Nahwärme)</t>
  </si>
  <si>
    <t>Gesamtkosten Nahwärme</t>
  </si>
  <si>
    <t>Der Jahresnutzungsgrad einer Einzelfeuerung beträgt nach Angaben der bimomassefreundlichen "Bay. Landes-anstalt für Wald- und Forstwirtschaft" 65%. (Merkblatt 34)</t>
  </si>
  <si>
    <t>Oftmals wird der Kachel- oder Schwedenofen weniger genutzt, wenn ein Nahwärmeanschluss errichtet wurde, da kein "teures Heizöl" eingespart werden muss/soll. (Voreinstellung 1/3)</t>
  </si>
  <si>
    <t xml:space="preserve">Wer nach einem Anlschluss an das Wärmenetz seinen Einzelofen weniger benutzt, bezieht mehr Nahwärme. Dies wird hier anhand der Eingaben unter "Einzelofen" automatisch berücksichtigt. </t>
  </si>
  <si>
    <t>Heizleistung der zu beheizenden Fläche</t>
  </si>
  <si>
    <t>Die folgenden Kosten fallen bei der Nahwärme einmalig an.</t>
  </si>
  <si>
    <t>Gesamtkosten der Zusatzleistungen</t>
  </si>
  <si>
    <r>
      <t>Grundpreis</t>
    </r>
    <r>
      <rPr>
        <sz val="8"/>
        <color theme="1"/>
        <rFont val="Arial"/>
        <family val="2"/>
      </rPr>
      <t xml:space="preserve"> (wenn keine Einmalzahlung geleistet wird)</t>
    </r>
  </si>
  <si>
    <t>Scheitholzkosten für Kachel-/Schwedenofen</t>
  </si>
  <si>
    <t>Wärmeerzeugung pro Jahr</t>
  </si>
  <si>
    <t>Durchschnittliche Kosten die für die Wartung angesetzt werden (z.B. Wartungsvertrag mit Heizungsbauer)</t>
  </si>
  <si>
    <t>Durchschnittliche jährliche Kosten für Reparatur der Heizungsanlage</t>
  </si>
  <si>
    <t xml:space="preserve">Kaminkehrerkosten für Kehrarbeiten, Emissionsmessung, Feuerstättenschau, Bescheide, ... </t>
  </si>
  <si>
    <t>Gesamtkosten der Wärmeversorgung</t>
  </si>
  <si>
    <t>Erst ab dem Zeitpunkt zu bezahlen, wenn der Hauptwärmeerzeuger der Zentralheizung älter als 20 Jahre ist.</t>
  </si>
  <si>
    <r>
      <t xml:space="preserve">Dies sind die jährlich zu erwartenden Kosten, wenn der Einmalbeitrag in Höhe von 9.950 € und die gegebenenfalls Gebäudeindividuellen Zusatzleistungen </t>
    </r>
    <r>
      <rPr>
        <b/>
        <sz val="10"/>
        <color rgb="FFC00000"/>
        <rFont val="Arial"/>
        <family val="2"/>
      </rPr>
      <t>nicht</t>
    </r>
    <r>
      <rPr>
        <sz val="10"/>
        <color rgb="FFC00000"/>
        <rFont val="Arial"/>
        <family val="2"/>
      </rPr>
      <t xml:space="preserve"> bezahlt wurden.</t>
    </r>
  </si>
  <si>
    <t>Eventuell notwednige Zusatzleistungen sind von jedem selbst zu begleichen.</t>
  </si>
  <si>
    <t>Berechnung gültig bis 40 kW</t>
  </si>
  <si>
    <t>Dies sind die jährlich zu erwartenden Kosten, wenn der Einmalbeitrag in Höhe von 9.950 € und die gegebenenfalls gebäudeindividuellen Zusatzleistungen bezahlt wurden.</t>
  </si>
  <si>
    <t>Davon sind:</t>
  </si>
  <si>
    <t>Diese Kosten sind individuell für jedes Gebäude zu ermitteln und nicht im Wärmepreis, sowie in den angesetzten Investitionskosten für eine neue Heizölbrennwertheizung enthalten.</t>
  </si>
  <si>
    <t>derzeitige Holzheizung</t>
  </si>
  <si>
    <t>Scheitholz</t>
  </si>
  <si>
    <t>Jahresnutzungsgrad Scheitholzkessel</t>
  </si>
  <si>
    <t>Energieinhalt je Ster (Heizwert)</t>
  </si>
  <si>
    <t>Scheitholzpreis Hartholz</t>
  </si>
  <si>
    <t>Scheitholzpreis Weichholz</t>
  </si>
  <si>
    <t>ø Scheitholzkosten (Hartholz):</t>
  </si>
  <si>
    <t>ø Scheitholzkosten (Weichholz):</t>
  </si>
  <si>
    <t>Stromverbrauch (1% / 1,5% des Wärmebedarfs)</t>
  </si>
  <si>
    <r>
      <t>Wärmebezugskosten</t>
    </r>
    <r>
      <rPr>
        <sz val="11"/>
        <color rgb="FF000000"/>
        <rFont val="Arial"/>
        <family val="2"/>
      </rPr>
      <t xml:space="preserve"> (Ersatz Heizöl &amp; Scheitholz)</t>
    </r>
  </si>
  <si>
    <t>Arbeitsaufwand</t>
  </si>
  <si>
    <t>Kessel schürren,  Kessel reinigen, Holz in Heizkeller räumen, …</t>
  </si>
  <si>
    <t>Kostenansatz</t>
  </si>
  <si>
    <t>Laut Angaben des biomassefreundlichen "Technologie- und Förderzeuntrum für Nachwachsende Rohstoffe" (TFZ-Merkblatt 21WBr003; Stand Januar 2021) betragen die durchschnittlichen Kosten für Hartholz 98,68 €/Ster und für Weichholz 79,38 €/Ster. Die minimalen Kosten wurden mit 72 €/Ster Hartholz bzw. 57 €/Ster Weichholz angegeben. (Hierfür sollte es auf jeden Fall jeder verkaufen können, wenn er den gerne Holz macht.) (Voreinstellung: Mittelwerte der gennanten Holzpreise)</t>
  </si>
  <si>
    <t>Laut Angaben des biomassefreundlichen "Technologie- und Förderzeuntrum für Nachwachsende Rohstoffe" (TFZ-Merkblatt 21WBr003; Stand Januar 2021) betragen die durchschnittlichen Kosten (Meterware) für Hartholz 83,91 €/Ster und für Weichholz 61,73 €/Ster.   (Voreinstellung: 80% der Mittelwerte der gennanten Holzpreise. Hierfür sollte es auf jeden Fall jeder verkaufen können, wenn er den gerne Holz macht. )</t>
  </si>
  <si>
    <r>
      <t xml:space="preserve">Brennstoffkosten Scheitholzkesssel
</t>
    </r>
    <r>
      <rPr>
        <sz val="11"/>
        <color rgb="FF000000"/>
        <rFont val="Arial"/>
        <family val="2"/>
      </rPr>
      <t>(gespalten, 50 cm, geliefert &amp; angesetzt)</t>
    </r>
  </si>
  <si>
    <t>Leistungsverzeichnisse: Scheitholzkessel</t>
  </si>
  <si>
    <t>• Wärmeerzeugungsanlage (Scheitholzkessel)</t>
  </si>
  <si>
    <t>• Pumpen und Armaturen</t>
  </si>
  <si>
    <t>• Pufferspeicher</t>
  </si>
  <si>
    <t>zukünftige Holzheizung</t>
  </si>
  <si>
    <r>
      <t>Wärmebezugskosten</t>
    </r>
    <r>
      <rPr>
        <sz val="11"/>
        <color rgb="FF000000"/>
        <rFont val="Arial"/>
        <family val="2"/>
      </rPr>
      <t xml:space="preserve"> (Ersatz Scheitholz Einzelofen)</t>
    </r>
  </si>
  <si>
    <r>
      <t>Wärmelieferung pro Jahr</t>
    </r>
    <r>
      <rPr>
        <sz val="11"/>
        <color rgb="FF000000"/>
        <rFont val="Arial"/>
        <family val="2"/>
      </rPr>
      <t xml:space="preserve"> (Ersatz Scheitholz Einzelofen)</t>
    </r>
  </si>
  <si>
    <r>
      <t>Reduzierung Scheitholzverbrauch</t>
    </r>
    <r>
      <rPr>
        <sz val="11"/>
        <color rgb="FF000000"/>
        <rFont val="Arial"/>
        <family val="2"/>
      </rPr>
      <t xml:space="preserve"> (Einzelofen)</t>
    </r>
  </si>
  <si>
    <t>Investitionskosten in neue Scheitholzheizung</t>
  </si>
  <si>
    <t>Der Jahresnutzungsgrad einer Scheitholzheizung beträgt nach Angaben der bimomassefreundlichen "Bay. Landes-anstalt für Wald- und Forstwirtschaft" 78%. (Merkblatt 34)</t>
  </si>
  <si>
    <t>Elektroheizung</t>
  </si>
  <si>
    <t>Stromverbrauch pro Jahr</t>
  </si>
  <si>
    <t>COP  / Wirkungsgrad</t>
  </si>
  <si>
    <t>Stromkosten für Elektroheizung</t>
  </si>
  <si>
    <r>
      <t>Wärmelieferung pro Jahr</t>
    </r>
    <r>
      <rPr>
        <sz val="11"/>
        <color rgb="FF000000"/>
        <rFont val="Arial"/>
        <family val="2"/>
      </rPr>
      <t xml:space="preserve"> (Ersatz Strom / Scheitholz)</t>
    </r>
  </si>
  <si>
    <t>Vergleichsberechnung Scheitholzkessel &amp; Elektroheizung / Nahwärme</t>
  </si>
  <si>
    <t>Grundpreis</t>
  </si>
  <si>
    <t>Anteil Hochtarif</t>
  </si>
  <si>
    <t>Strompreis Hochtarif</t>
  </si>
  <si>
    <t>Anteil Niedertarif</t>
  </si>
  <si>
    <t>Strompreis Niedertarif</t>
  </si>
  <si>
    <t>Scheitholzverbrauch pro Jahr</t>
  </si>
  <si>
    <t>Kachelofen mit Pufferspeicher wird wie ein Scheitholzkessel betrachtet</t>
  </si>
  <si>
    <t>Holzheizung / Elektro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</si>
</sst>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164" formatCode="#,##0.00&quot; &quot;[$€-407];[Red]&quot;-&quot;#,##0.00&quot; &quot;[$€-407]"/>
    <numFmt numFmtId="165" formatCode="0\ &quot;kW&quot;"/>
    <numFmt numFmtId="166" formatCode="#,##0\ &quot;€&quot;"/>
    <numFmt numFmtId="167" formatCode="#,##0\ &quot;kWh&quot;"/>
    <numFmt numFmtId="168" formatCode="0.0%"/>
    <numFmt numFmtId="169" formatCode="#,##0\ &quot;€/a&quot;"/>
    <numFmt numFmtId="170" formatCode="0.00\ &quot;Ct/kWh&quot;"/>
    <numFmt numFmtId="171" formatCode="0\ &quot;Jahre&quot;"/>
    <numFmt numFmtId="172" formatCode="#,##0\ &quot;qm&quot;"/>
    <numFmt numFmtId="173" formatCode="#,##0.00\ &quot;€&quot;"/>
    <numFmt numFmtId="174" formatCode="#,##0.00\ &quot;€/a&quot;"/>
    <numFmt numFmtId="175" formatCode="#,##0\ &quot;kW&quot;"/>
    <numFmt numFmtId="176" formatCode="0\ &quot;W/qm&quot;"/>
    <numFmt numFmtId="177" formatCode="#,##0\ &quot;€/kW&quot;"/>
    <numFmt numFmtId="178" formatCode="#,##0.00\ &quot;Ct/kWh&quot;"/>
    <numFmt numFmtId="179" formatCode="#,##0.00\ &quot;kWh&quot;"/>
    <numFmt numFmtId="180" formatCode="0.00\ &quot;Ct/Liter&quot;"/>
    <numFmt numFmtId="181" formatCode="#,##0.0\ &quot;Ster&quot;"/>
    <numFmt numFmtId="182" formatCode="0.00\ &quot;€/Ster&quot;"/>
    <numFmt numFmtId="183" formatCode="#,##0\ &quot;kWh/Rm&quot;"/>
    <numFmt numFmtId="184" formatCode="#,##0\ &quot;kWh/Ster&quot;"/>
    <numFmt numFmtId="185" formatCode="#,##0.0\ &quot;kW&quot;"/>
    <numFmt numFmtId="186" formatCode="#,##0\ &quot;Ster&quot;"/>
    <numFmt numFmtId="187" formatCode="0\ &quot;h/a&quot;"/>
    <numFmt numFmtId="188" formatCode="#,##0\ &quot;min pro Tag&quot;"/>
    <numFmt numFmtId="189" formatCode="#,##0.0\ &quot;€/h&quot;"/>
    <numFmt numFmtId="190" formatCode="0.00\ &quot;€/a&quot;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FF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2" tint="-0.749992370372631"/>
      <name val="Arial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0"/>
      <name val="Arial"/>
      <family val="2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sz val="11"/>
      <color rgb="FFC00000"/>
      <name val="Arial"/>
      <family val="2"/>
    </font>
    <font>
      <b/>
      <u/>
      <sz val="11"/>
      <color rgb="FF800000"/>
      <name val="Arial"/>
      <family val="2"/>
    </font>
    <font>
      <b/>
      <sz val="18"/>
      <name val="Arial"/>
      <family val="2"/>
    </font>
    <font>
      <i/>
      <sz val="10"/>
      <color theme="1"/>
      <name val="Arial"/>
      <family val="2"/>
    </font>
    <font>
      <sz val="10"/>
      <color rgb="FFC00000"/>
      <name val="Arial"/>
      <family val="2"/>
    </font>
    <font>
      <sz val="7"/>
      <color rgb="FFC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C00000"/>
      <name val="Arial"/>
      <family val="2"/>
    </font>
    <font>
      <sz val="11"/>
      <color rgb="FFFF0000"/>
      <name val="Arial"/>
      <family val="2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499984740745262"/>
        <bgColor rgb="FFAECF00"/>
      </patternFill>
    </fill>
    <fill>
      <patternFill patternType="solid">
        <fgColor rgb="FF800000"/>
        <bgColor rgb="FFAECF00"/>
      </patternFill>
    </fill>
    <fill>
      <patternFill patternType="solid">
        <fgColor rgb="FF80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4" fontId="4" fillId="0" borderId="0" applyBorder="0" applyProtection="0"/>
    <xf numFmtId="0" fontId="8" fillId="0" borderId="0"/>
    <xf numFmtId="0" fontId="9" fillId="0" borderId="0">
      <alignment horizontal="center"/>
    </xf>
    <xf numFmtId="0" fontId="9" fillId="0" borderId="0">
      <alignment horizontal="center" textRotation="90"/>
    </xf>
    <xf numFmtId="0" fontId="10" fillId="0" borderId="0"/>
    <xf numFmtId="164" fontId="10" fillId="0" borderId="0"/>
    <xf numFmtId="9" fontId="1" fillId="0" borderId="0" applyFont="0" applyFill="0" applyBorder="0" applyAlignment="0" applyProtection="0"/>
    <xf numFmtId="0" fontId="30" fillId="0" borderId="0" applyNumberFormat="0" applyFill="0" applyBorder="0" applyAlignment="0" applyProtection="0"/>
  </cellStyleXfs>
  <cellXfs count="318">
    <xf numFmtId="0" fontId="0" fillId="0" borderId="0" xfId="0"/>
    <xf numFmtId="0" fontId="0" fillId="0" borderId="0" xfId="0"/>
    <xf numFmtId="168" fontId="7" fillId="0" borderId="0" xfId="1" applyNumberFormat="1" applyFont="1" applyFill="1" applyBorder="1" applyAlignment="1">
      <alignment horizontal="center"/>
    </xf>
    <xf numFmtId="0" fontId="12" fillId="0" borderId="0" xfId="2" applyFont="1"/>
    <xf numFmtId="0" fontId="7" fillId="0" borderId="0" xfId="2" applyFont="1"/>
    <xf numFmtId="0" fontId="11" fillId="0" borderId="0" xfId="0" applyFont="1" applyAlignment="1">
      <alignment vertical="center"/>
    </xf>
    <xf numFmtId="0" fontId="15" fillId="0" borderId="0" xfId="2" applyFont="1"/>
    <xf numFmtId="0" fontId="8" fillId="0" borderId="0" xfId="0" applyFont="1"/>
    <xf numFmtId="0" fontId="8" fillId="0" borderId="0" xfId="0" applyFont="1" applyAlignment="1">
      <alignment vertical="center"/>
    </xf>
    <xf numFmtId="4" fontId="8" fillId="0" borderId="10" xfId="0" applyNumberFormat="1" applyFont="1" applyFill="1" applyBorder="1" applyAlignment="1">
      <alignment horizontal="left" vertical="center" indent="1"/>
    </xf>
    <xf numFmtId="173" fontId="8" fillId="0" borderId="1" xfId="0" applyNumberFormat="1" applyFont="1" applyFill="1" applyBorder="1" applyAlignment="1">
      <alignment vertical="center"/>
    </xf>
    <xf numFmtId="4" fontId="8" fillId="0" borderId="7" xfId="0" applyNumberFormat="1" applyFont="1" applyFill="1" applyBorder="1" applyAlignment="1">
      <alignment horizontal="left" vertical="center" indent="1"/>
    </xf>
    <xf numFmtId="173" fontId="8" fillId="0" borderId="8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173" fontId="8" fillId="0" borderId="0" xfId="0" applyNumberFormat="1" applyFont="1" applyFill="1" applyAlignment="1">
      <alignment vertical="center"/>
    </xf>
    <xf numFmtId="173" fontId="8" fillId="0" borderId="11" xfId="0" applyNumberFormat="1" applyFont="1" applyFill="1" applyBorder="1" applyAlignment="1">
      <alignment vertical="center"/>
    </xf>
    <xf numFmtId="173" fontId="8" fillId="0" borderId="9" xfId="0" applyNumberFormat="1" applyFont="1" applyFill="1" applyBorder="1" applyAlignment="1">
      <alignment vertical="center"/>
    </xf>
    <xf numFmtId="0" fontId="5" fillId="0" borderId="12" xfId="2" applyFont="1" applyBorder="1"/>
    <xf numFmtId="165" fontId="7" fillId="0" borderId="0" xfId="2" applyNumberFormat="1" applyFont="1" applyAlignment="1">
      <alignment horizontal="center"/>
    </xf>
    <xf numFmtId="0" fontId="5" fillId="0" borderId="27" xfId="2" applyFont="1" applyBorder="1"/>
    <xf numFmtId="0" fontId="19" fillId="0" borderId="0" xfId="2" applyFont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5" fillId="0" borderId="0" xfId="2" applyFont="1"/>
    <xf numFmtId="0" fontId="14" fillId="0" borderId="14" xfId="2" applyFont="1" applyBorder="1" applyAlignment="1">
      <alignment horizontal="left" vertical="center" indent="1"/>
    </xf>
    <xf numFmtId="0" fontId="14" fillId="0" borderId="13" xfId="2" applyFont="1" applyBorder="1" applyAlignment="1">
      <alignment horizontal="left" vertical="center" indent="1"/>
    </xf>
    <xf numFmtId="0" fontId="14" fillId="0" borderId="0" xfId="2" applyFont="1" applyAlignment="1">
      <alignment horizontal="left" indent="1"/>
    </xf>
    <xf numFmtId="170" fontId="7" fillId="0" borderId="0" xfId="2" applyNumberFormat="1" applyFont="1" applyAlignment="1">
      <alignment horizontal="center"/>
    </xf>
    <xf numFmtId="0" fontId="7" fillId="0" borderId="0" xfId="2" applyFont="1" applyAlignment="1">
      <alignment horizontal="center"/>
    </xf>
    <xf numFmtId="0" fontId="7" fillId="0" borderId="18" xfId="2" applyFont="1" applyBorder="1" applyAlignment="1">
      <alignment horizontal="center"/>
    </xf>
    <xf numFmtId="0" fontId="5" fillId="0" borderId="27" xfId="2" applyFont="1" applyBorder="1" applyAlignment="1">
      <alignment vertical="center"/>
    </xf>
    <xf numFmtId="165" fontId="13" fillId="0" borderId="12" xfId="2" applyNumberFormat="1" applyFont="1" applyFill="1" applyBorder="1" applyAlignment="1">
      <alignment horizontal="center"/>
    </xf>
    <xf numFmtId="179" fontId="7" fillId="0" borderId="14" xfId="2" applyNumberFormat="1" applyFont="1" applyFill="1" applyBorder="1" applyAlignment="1">
      <alignment horizontal="center"/>
    </xf>
    <xf numFmtId="179" fontId="14" fillId="0" borderId="14" xfId="2" applyNumberFormat="1" applyFont="1" applyFill="1" applyBorder="1" applyAlignment="1">
      <alignment horizontal="center"/>
    </xf>
    <xf numFmtId="0" fontId="5" fillId="0" borderId="13" xfId="2" applyFont="1" applyBorder="1" applyAlignment="1">
      <alignment horizontal="left" vertical="center"/>
    </xf>
    <xf numFmtId="167" fontId="13" fillId="0" borderId="13" xfId="2" applyNumberFormat="1" applyFont="1" applyFill="1" applyBorder="1" applyAlignment="1">
      <alignment horizontal="center"/>
    </xf>
    <xf numFmtId="169" fontId="13" fillId="0" borderId="12" xfId="2" applyNumberFormat="1" applyFont="1" applyFill="1" applyBorder="1" applyAlignment="1">
      <alignment horizontal="center"/>
    </xf>
    <xf numFmtId="167" fontId="14" fillId="0" borderId="14" xfId="2" applyNumberFormat="1" applyFont="1" applyFill="1" applyBorder="1" applyAlignment="1">
      <alignment horizontal="center"/>
    </xf>
    <xf numFmtId="166" fontId="6" fillId="0" borderId="0" xfId="2" applyNumberFormat="1" applyFont="1" applyFill="1" applyBorder="1" applyAlignment="1">
      <alignment horizontal="center"/>
    </xf>
    <xf numFmtId="166" fontId="7" fillId="0" borderId="0" xfId="2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/>
    </xf>
    <xf numFmtId="171" fontId="7" fillId="0" borderId="0" xfId="2" applyNumberFormat="1" applyFont="1" applyFill="1" applyBorder="1" applyAlignment="1">
      <alignment horizontal="center"/>
    </xf>
    <xf numFmtId="169" fontId="6" fillId="0" borderId="0" xfId="2" applyNumberFormat="1" applyFont="1" applyFill="1" applyBorder="1" applyAlignment="1">
      <alignment horizontal="center"/>
    </xf>
    <xf numFmtId="167" fontId="13" fillId="0" borderId="27" xfId="2" applyNumberFormat="1" applyFont="1" applyFill="1" applyBorder="1" applyAlignment="1">
      <alignment horizontal="center"/>
    </xf>
    <xf numFmtId="176" fontId="14" fillId="0" borderId="13" xfId="2" applyNumberFormat="1" applyFont="1" applyFill="1" applyBorder="1" applyAlignment="1">
      <alignment horizontal="center"/>
    </xf>
    <xf numFmtId="172" fontId="13" fillId="0" borderId="27" xfId="2" applyNumberFormat="1" applyFont="1" applyFill="1" applyBorder="1" applyAlignment="1">
      <alignment horizontal="center"/>
    </xf>
    <xf numFmtId="170" fontId="14" fillId="0" borderId="13" xfId="0" applyNumberFormat="1" applyFont="1" applyFill="1" applyBorder="1" applyAlignment="1">
      <alignment horizontal="center"/>
    </xf>
    <xf numFmtId="0" fontId="7" fillId="0" borderId="18" xfId="2" applyFont="1" applyFill="1" applyBorder="1" applyAlignment="1">
      <alignment horizontal="center"/>
    </xf>
    <xf numFmtId="0" fontId="7" fillId="0" borderId="0" xfId="2" applyFont="1" applyFill="1" applyBorder="1"/>
    <xf numFmtId="0" fontId="19" fillId="0" borderId="0" xfId="2" applyFont="1" applyFill="1" applyBorder="1" applyAlignment="1">
      <alignment vertical="center"/>
    </xf>
    <xf numFmtId="0" fontId="5" fillId="0" borderId="0" xfId="2" applyFont="1" applyFill="1" applyBorder="1"/>
    <xf numFmtId="170" fontId="7" fillId="0" borderId="0" xfId="2" applyNumberFormat="1" applyFont="1" applyFill="1" applyBorder="1" applyAlignment="1">
      <alignment horizontal="center"/>
    </xf>
    <xf numFmtId="0" fontId="15" fillId="0" borderId="0" xfId="2" applyFont="1" applyFill="1" applyBorder="1"/>
    <xf numFmtId="168" fontId="14" fillId="0" borderId="12" xfId="1" applyNumberFormat="1" applyFont="1" applyFill="1" applyBorder="1" applyAlignment="1">
      <alignment horizontal="center"/>
    </xf>
    <xf numFmtId="0" fontId="7" fillId="0" borderId="31" xfId="2" applyFont="1" applyBorder="1"/>
    <xf numFmtId="0" fontId="19" fillId="0" borderId="31" xfId="2" applyFont="1" applyBorder="1" applyAlignment="1">
      <alignment vertical="center"/>
    </xf>
    <xf numFmtId="0" fontId="5" fillId="0" borderId="31" xfId="2" applyFont="1" applyBorder="1"/>
    <xf numFmtId="0" fontId="15" fillId="0" borderId="31" xfId="2" applyFont="1" applyBorder="1"/>
    <xf numFmtId="171" fontId="14" fillId="0" borderId="12" xfId="2" applyNumberFormat="1" applyFont="1" applyFill="1" applyBorder="1" applyAlignment="1">
      <alignment horizontal="center"/>
    </xf>
    <xf numFmtId="168" fontId="14" fillId="0" borderId="13" xfId="1" applyNumberFormat="1" applyFont="1" applyFill="1" applyBorder="1" applyAlignment="1">
      <alignment horizontal="center"/>
    </xf>
    <xf numFmtId="166" fontId="13" fillId="0" borderId="12" xfId="2" applyNumberFormat="1" applyFont="1" applyFill="1" applyBorder="1" applyAlignment="1">
      <alignment horizontal="center"/>
    </xf>
    <xf numFmtId="166" fontId="13" fillId="0" borderId="13" xfId="2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vertical="center"/>
    </xf>
    <xf numFmtId="169" fontId="6" fillId="4" borderId="12" xfId="2" applyNumberFormat="1" applyFont="1" applyFill="1" applyBorder="1" applyAlignment="1">
      <alignment horizontal="center"/>
    </xf>
    <xf numFmtId="178" fontId="6" fillId="4" borderId="13" xfId="2" applyNumberFormat="1" applyFont="1" applyFill="1" applyBorder="1" applyAlignment="1">
      <alignment horizontal="center"/>
    </xf>
    <xf numFmtId="169" fontId="6" fillId="4" borderId="1" xfId="2" applyNumberFormat="1" applyFont="1" applyFill="1" applyBorder="1" applyAlignment="1">
      <alignment horizontal="center"/>
    </xf>
    <xf numFmtId="0" fontId="7" fillId="0" borderId="0" xfId="2" applyFont="1" applyBorder="1"/>
    <xf numFmtId="0" fontId="6" fillId="0" borderId="18" xfId="0" applyFont="1" applyFill="1" applyBorder="1" applyAlignment="1">
      <alignment horizontal="left" vertical="center"/>
    </xf>
    <xf numFmtId="178" fontId="6" fillId="0" borderId="18" xfId="2" applyNumberFormat="1" applyFont="1" applyFill="1" applyBorder="1" applyAlignment="1">
      <alignment horizontal="center"/>
    </xf>
    <xf numFmtId="0" fontId="7" fillId="0" borderId="18" xfId="2" applyFont="1" applyFill="1" applyBorder="1"/>
    <xf numFmtId="0" fontId="7" fillId="0" borderId="18" xfId="2" applyFont="1" applyBorder="1"/>
    <xf numFmtId="169" fontId="6" fillId="7" borderId="12" xfId="2" applyNumberFormat="1" applyFont="1" applyFill="1" applyBorder="1" applyAlignment="1">
      <alignment horizontal="center"/>
    </xf>
    <xf numFmtId="178" fontId="6" fillId="7" borderId="13" xfId="2" applyNumberFormat="1" applyFont="1" applyFill="1" applyBorder="1" applyAlignment="1">
      <alignment horizont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" fillId="0" borderId="0" xfId="2" applyFont="1" applyBorder="1" applyAlignment="1">
      <alignment vertical="center"/>
    </xf>
    <xf numFmtId="0" fontId="2" fillId="0" borderId="0" xfId="2" applyFont="1"/>
    <xf numFmtId="172" fontId="2" fillId="0" borderId="0" xfId="2" applyNumberFormat="1" applyFont="1"/>
    <xf numFmtId="172" fontId="2" fillId="0" borderId="31" xfId="2" applyNumberFormat="1" applyFont="1" applyBorder="1"/>
    <xf numFmtId="172" fontId="2" fillId="0" borderId="0" xfId="2" applyNumberFormat="1" applyFont="1" applyFill="1" applyBorder="1"/>
    <xf numFmtId="0" fontId="2" fillId="0" borderId="31" xfId="2" applyFont="1" applyBorder="1"/>
    <xf numFmtId="0" fontId="2" fillId="0" borderId="0" xfId="2" applyFont="1" applyFill="1" applyBorder="1"/>
    <xf numFmtId="0" fontId="2" fillId="0" borderId="13" xfId="2" applyFont="1" applyBorder="1"/>
    <xf numFmtId="176" fontId="2" fillId="0" borderId="0" xfId="2" applyNumberFormat="1" applyFont="1" applyFill="1" applyBorder="1"/>
    <xf numFmtId="0" fontId="2" fillId="0" borderId="12" xfId="2" applyFont="1" applyBorder="1" applyAlignment="1">
      <alignment horizontal="left"/>
    </xf>
    <xf numFmtId="0" fontId="2" fillId="0" borderId="14" xfId="2" applyFont="1" applyBorder="1"/>
    <xf numFmtId="0" fontId="8" fillId="0" borderId="31" xfId="0" applyFont="1" applyBorder="1"/>
    <xf numFmtId="0" fontId="8" fillId="0" borderId="0" xfId="0" applyFont="1" applyFill="1" applyBorder="1"/>
    <xf numFmtId="0" fontId="2" fillId="0" borderId="18" xfId="2" applyFont="1" applyFill="1" applyBorder="1"/>
    <xf numFmtId="172" fontId="2" fillId="0" borderId="18" xfId="2" applyNumberFormat="1" applyFont="1" applyFill="1" applyBorder="1" applyAlignment="1"/>
    <xf numFmtId="172" fontId="2" fillId="0" borderId="0" xfId="2" applyNumberFormat="1" applyFont="1" applyFill="1" applyBorder="1" applyAlignment="1"/>
    <xf numFmtId="0" fontId="2" fillId="0" borderId="0" xfId="2" applyFont="1" applyBorder="1"/>
    <xf numFmtId="0" fontId="2" fillId="0" borderId="12" xfId="2" applyFont="1" applyBorder="1"/>
    <xf numFmtId="172" fontId="2" fillId="3" borderId="26" xfId="2" applyNumberFormat="1" applyFont="1" applyFill="1" applyBorder="1" applyAlignment="1"/>
    <xf numFmtId="172" fontId="2" fillId="3" borderId="32" xfId="2" applyNumberFormat="1" applyFont="1" applyFill="1" applyBorder="1" applyAlignment="1"/>
    <xf numFmtId="0" fontId="8" fillId="0" borderId="0" xfId="0" applyFont="1" applyBorder="1"/>
    <xf numFmtId="0" fontId="2" fillId="0" borderId="18" xfId="2" applyFont="1" applyBorder="1"/>
    <xf numFmtId="169" fontId="8" fillId="0" borderId="0" xfId="0" applyNumberFormat="1" applyFont="1"/>
    <xf numFmtId="165" fontId="8" fillId="0" borderId="0" xfId="0" applyNumberFormat="1" applyFont="1"/>
    <xf numFmtId="9" fontId="8" fillId="0" borderId="0" xfId="1" applyFont="1"/>
    <xf numFmtId="0" fontId="5" fillId="0" borderId="13" xfId="2" applyFont="1" applyBorder="1" applyAlignment="1">
      <alignment vertical="center"/>
    </xf>
    <xf numFmtId="0" fontId="5" fillId="0" borderId="12" xfId="2" applyFont="1" applyBorder="1" applyAlignment="1">
      <alignment horizontal="center" vertical="center" wrapText="1"/>
    </xf>
    <xf numFmtId="0" fontId="2" fillId="0" borderId="18" xfId="2" applyFont="1" applyBorder="1" applyAlignment="1">
      <alignment vertical="center"/>
    </xf>
    <xf numFmtId="0" fontId="5" fillId="0" borderId="13" xfId="2" applyFont="1" applyBorder="1" applyAlignment="1">
      <alignment horizontal="center" vertical="center"/>
    </xf>
    <xf numFmtId="0" fontId="6" fillId="6" borderId="27" xfId="0" applyFont="1" applyFill="1" applyBorder="1" applyAlignment="1">
      <alignment horizontal="left" vertical="center"/>
    </xf>
    <xf numFmtId="169" fontId="6" fillId="7" borderId="27" xfId="2" applyNumberFormat="1" applyFont="1" applyFill="1" applyBorder="1" applyAlignment="1">
      <alignment horizontal="center"/>
    </xf>
    <xf numFmtId="169" fontId="6" fillId="4" borderId="27" xfId="2" applyNumberFormat="1" applyFont="1" applyFill="1" applyBorder="1" applyAlignment="1">
      <alignment horizontal="center"/>
    </xf>
    <xf numFmtId="0" fontId="6" fillId="5" borderId="27" xfId="0" applyFont="1" applyFill="1" applyBorder="1" applyAlignment="1">
      <alignment horizontal="left" vertical="center"/>
    </xf>
    <xf numFmtId="0" fontId="2" fillId="0" borderId="28" xfId="2" applyFont="1" applyBorder="1"/>
    <xf numFmtId="9" fontId="14" fillId="0" borderId="28" xfId="1" applyFont="1" applyFill="1" applyBorder="1" applyAlignment="1">
      <alignment horizontal="center"/>
    </xf>
    <xf numFmtId="166" fontId="13" fillId="0" borderId="14" xfId="2" applyNumberFormat="1" applyFont="1" applyFill="1" applyBorder="1" applyAlignment="1">
      <alignment horizontal="center"/>
    </xf>
    <xf numFmtId="166" fontId="13" fillId="0" borderId="27" xfId="2" applyNumberFormat="1" applyFont="1" applyFill="1" applyBorder="1" applyAlignment="1">
      <alignment horizontal="center"/>
    </xf>
    <xf numFmtId="0" fontId="14" fillId="0" borderId="18" xfId="2" applyFont="1" applyBorder="1" applyAlignment="1">
      <alignment horizontal="left" indent="1"/>
    </xf>
    <xf numFmtId="170" fontId="7" fillId="0" borderId="18" xfId="2" applyNumberFormat="1" applyFont="1" applyBorder="1" applyAlignment="1">
      <alignment horizontal="center"/>
    </xf>
    <xf numFmtId="0" fontId="2" fillId="0" borderId="13" xfId="2" applyFont="1" applyBorder="1" applyAlignment="1">
      <alignment vertical="center"/>
    </xf>
    <xf numFmtId="182" fontId="14" fillId="0" borderId="13" xfId="2" applyNumberFormat="1" applyFont="1" applyFill="1" applyBorder="1" applyAlignment="1">
      <alignment horizontal="center"/>
    </xf>
    <xf numFmtId="181" fontId="13" fillId="0" borderId="12" xfId="2" applyNumberFormat="1" applyFont="1" applyFill="1" applyBorder="1" applyAlignment="1">
      <alignment horizontal="center"/>
    </xf>
    <xf numFmtId="9" fontId="14" fillId="0" borderId="42" xfId="1" applyFont="1" applyFill="1" applyBorder="1" applyAlignment="1">
      <alignment horizontal="center"/>
    </xf>
    <xf numFmtId="9" fontId="14" fillId="0" borderId="13" xfId="1" applyFont="1" applyFill="1" applyBorder="1" applyAlignment="1">
      <alignment horizontal="center"/>
    </xf>
    <xf numFmtId="0" fontId="2" fillId="0" borderId="14" xfId="2" applyFont="1" applyBorder="1" applyAlignment="1">
      <alignment horizontal="left" indent="1"/>
    </xf>
    <xf numFmtId="0" fontId="2" fillId="0" borderId="13" xfId="2" applyFont="1" applyBorder="1" applyAlignment="1">
      <alignment horizontal="left" indent="1"/>
    </xf>
    <xf numFmtId="170" fontId="7" fillId="0" borderId="18" xfId="2" applyNumberFormat="1" applyFont="1" applyFill="1" applyBorder="1" applyAlignment="1">
      <alignment horizontal="center"/>
    </xf>
    <xf numFmtId="184" fontId="14" fillId="0" borderId="14" xfId="2" applyNumberFormat="1" applyFont="1" applyFill="1" applyBorder="1" applyAlignment="1">
      <alignment horizontal="center"/>
    </xf>
    <xf numFmtId="0" fontId="18" fillId="7" borderId="12" xfId="2" applyFont="1" applyFill="1" applyBorder="1" applyAlignment="1">
      <alignment horizontal="center" vertical="center"/>
    </xf>
    <xf numFmtId="0" fontId="23" fillId="0" borderId="0" xfId="2" applyFont="1" applyBorder="1" applyAlignment="1">
      <alignment vertical="center"/>
    </xf>
    <xf numFmtId="181" fontId="13" fillId="8" borderId="12" xfId="2" applyNumberFormat="1" applyFont="1" applyFill="1" applyBorder="1" applyAlignment="1">
      <alignment horizontal="center"/>
    </xf>
    <xf numFmtId="0" fontId="14" fillId="0" borderId="0" xfId="2" applyFont="1" applyBorder="1" applyAlignment="1">
      <alignment horizontal="left" indent="1"/>
    </xf>
    <xf numFmtId="170" fontId="7" fillId="0" borderId="0" xfId="2" applyNumberFormat="1" applyFont="1" applyBorder="1" applyAlignment="1">
      <alignment horizontal="center"/>
    </xf>
    <xf numFmtId="182" fontId="14" fillId="0" borderId="18" xfId="2" applyNumberFormat="1" applyFont="1" applyFill="1" applyBorder="1" applyAlignment="1">
      <alignment horizontal="center"/>
    </xf>
    <xf numFmtId="182" fontId="7" fillId="0" borderId="18" xfId="2" applyNumberFormat="1" applyFont="1" applyFill="1" applyBorder="1" applyAlignment="1">
      <alignment horizontal="center"/>
    </xf>
    <xf numFmtId="0" fontId="5" fillId="8" borderId="12" xfId="2" applyFont="1" applyFill="1" applyBorder="1"/>
    <xf numFmtId="0" fontId="5" fillId="8" borderId="13" xfId="2" applyFont="1" applyFill="1" applyBorder="1"/>
    <xf numFmtId="0" fontId="13" fillId="0" borderId="27" xfId="2" applyFont="1" applyBorder="1" applyAlignment="1"/>
    <xf numFmtId="0" fontId="5" fillId="8" borderId="14" xfId="2" applyFont="1" applyFill="1" applyBorder="1"/>
    <xf numFmtId="0" fontId="2" fillId="3" borderId="32" xfId="2" applyFont="1" applyFill="1" applyBorder="1" applyAlignment="1"/>
    <xf numFmtId="0" fontId="2" fillId="3" borderId="25" xfId="2" applyFont="1" applyFill="1" applyBorder="1" applyAlignment="1"/>
    <xf numFmtId="0" fontId="25" fillId="0" borderId="0" xfId="2" applyFont="1" applyAlignment="1">
      <alignment vertical="center"/>
    </xf>
    <xf numFmtId="166" fontId="6" fillId="0" borderId="18" xfId="2" applyNumberFormat="1" applyFont="1" applyFill="1" applyBorder="1" applyAlignment="1">
      <alignment horizontal="center"/>
    </xf>
    <xf numFmtId="9" fontId="14" fillId="8" borderId="28" xfId="1" applyFont="1" applyFill="1" applyBorder="1" applyAlignment="1">
      <alignment horizontal="center"/>
    </xf>
    <xf numFmtId="0" fontId="6" fillId="6" borderId="10" xfId="0" applyFont="1" applyFill="1" applyBorder="1" applyAlignment="1">
      <alignment vertical="center"/>
    </xf>
    <xf numFmtId="169" fontId="6" fillId="7" borderId="1" xfId="2" applyNumberFormat="1" applyFont="1" applyFill="1" applyBorder="1" applyAlignment="1">
      <alignment horizontal="center"/>
    </xf>
    <xf numFmtId="178" fontId="6" fillId="7" borderId="1" xfId="2" applyNumberFormat="1" applyFont="1" applyFill="1" applyBorder="1" applyAlignment="1">
      <alignment horizontal="center"/>
    </xf>
    <xf numFmtId="165" fontId="24" fillId="0" borderId="0" xfId="0" applyNumberFormat="1" applyFont="1" applyBorder="1" applyAlignment="1">
      <alignment horizontal="left" wrapText="1"/>
    </xf>
    <xf numFmtId="0" fontId="27" fillId="0" borderId="0" xfId="0" applyFont="1" applyAlignment="1">
      <alignment horizontal="left" vertical="center"/>
    </xf>
    <xf numFmtId="181" fontId="14" fillId="2" borderId="13" xfId="2" applyNumberFormat="1" applyFont="1" applyFill="1" applyBorder="1" applyAlignment="1">
      <alignment horizontal="center"/>
    </xf>
    <xf numFmtId="166" fontId="13" fillId="9" borderId="14" xfId="2" applyNumberFormat="1" applyFont="1" applyFill="1" applyBorder="1" applyAlignment="1">
      <alignment horizontal="center"/>
    </xf>
    <xf numFmtId="0" fontId="6" fillId="5" borderId="10" xfId="0" applyFont="1" applyFill="1" applyBorder="1" applyAlignment="1">
      <alignment vertical="center"/>
    </xf>
    <xf numFmtId="168" fontId="14" fillId="11" borderId="12" xfId="1" applyNumberFormat="1" applyFont="1" applyFill="1" applyBorder="1" applyAlignment="1">
      <alignment horizontal="center"/>
    </xf>
    <xf numFmtId="181" fontId="13" fillId="11" borderId="12" xfId="2" applyNumberFormat="1" applyFont="1" applyFill="1" applyBorder="1" applyAlignment="1">
      <alignment horizontal="center"/>
    </xf>
    <xf numFmtId="9" fontId="14" fillId="11" borderId="14" xfId="1" applyFont="1" applyFill="1" applyBorder="1" applyAlignment="1">
      <alignment horizontal="center"/>
    </xf>
    <xf numFmtId="182" fontId="14" fillId="11" borderId="13" xfId="2" applyNumberFormat="1" applyFont="1" applyFill="1" applyBorder="1" applyAlignment="1">
      <alignment horizontal="center"/>
    </xf>
    <xf numFmtId="169" fontId="14" fillId="11" borderId="12" xfId="2" applyNumberFormat="1" applyFont="1" applyFill="1" applyBorder="1" applyAlignment="1">
      <alignment horizontal="center"/>
    </xf>
    <xf numFmtId="166" fontId="13" fillId="11" borderId="12" xfId="2" applyNumberFormat="1" applyFont="1" applyFill="1" applyBorder="1" applyAlignment="1">
      <alignment horizontal="center"/>
    </xf>
    <xf numFmtId="166" fontId="13" fillId="11" borderId="14" xfId="2" applyNumberFormat="1" applyFont="1" applyFill="1" applyBorder="1" applyAlignment="1">
      <alignment horizontal="center"/>
    </xf>
    <xf numFmtId="166" fontId="13" fillId="11" borderId="13" xfId="2" applyNumberFormat="1" applyFont="1" applyFill="1" applyBorder="1" applyAlignment="1">
      <alignment horizontal="center"/>
    </xf>
    <xf numFmtId="171" fontId="14" fillId="11" borderId="12" xfId="2" applyNumberFormat="1" applyFont="1" applyFill="1" applyBorder="1" applyAlignment="1">
      <alignment horizontal="center"/>
    </xf>
    <xf numFmtId="168" fontId="14" fillId="11" borderId="13" xfId="1" applyNumberFormat="1" applyFont="1" applyFill="1" applyBorder="1" applyAlignment="1">
      <alignment horizontal="center"/>
    </xf>
    <xf numFmtId="173" fontId="17" fillId="0" borderId="0" xfId="0" applyNumberFormat="1" applyFont="1"/>
    <xf numFmtId="4" fontId="6" fillId="7" borderId="4" xfId="0" applyNumberFormat="1" applyFont="1" applyFill="1" applyBorder="1" applyAlignment="1">
      <alignment vertical="center"/>
    </xf>
    <xf numFmtId="175" fontId="6" fillId="6" borderId="5" xfId="0" applyNumberFormat="1" applyFont="1" applyFill="1" applyBorder="1" applyAlignment="1">
      <alignment horizontal="right" vertical="center"/>
    </xf>
    <xf numFmtId="175" fontId="6" fillId="6" borderId="6" xfId="0" applyNumberFormat="1" applyFont="1" applyFill="1" applyBorder="1" applyAlignment="1">
      <alignment horizontal="right" vertical="center"/>
    </xf>
    <xf numFmtId="174" fontId="6" fillId="7" borderId="1" xfId="0" applyNumberFormat="1" applyFont="1" applyFill="1" applyBorder="1" applyAlignment="1">
      <alignment vertical="center"/>
    </xf>
    <xf numFmtId="174" fontId="6" fillId="7" borderId="11" xfId="0" applyNumberFormat="1" applyFont="1" applyFill="1" applyBorder="1" applyAlignment="1">
      <alignment vertical="center"/>
    </xf>
    <xf numFmtId="10" fontId="6" fillId="7" borderId="1" xfId="1" applyNumberFormat="1" applyFont="1" applyFill="1" applyBorder="1" applyAlignment="1">
      <alignment vertical="center"/>
    </xf>
    <xf numFmtId="10" fontId="6" fillId="7" borderId="11" xfId="1" applyNumberFormat="1" applyFont="1" applyFill="1" applyBorder="1" applyAlignment="1">
      <alignment vertical="center"/>
    </xf>
    <xf numFmtId="4" fontId="6" fillId="7" borderId="10" xfId="0" applyNumberFormat="1" applyFont="1" applyFill="1" applyBorder="1" applyAlignment="1">
      <alignment vertical="center"/>
    </xf>
    <xf numFmtId="173" fontId="6" fillId="7" borderId="1" xfId="0" applyNumberFormat="1" applyFont="1" applyFill="1" applyBorder="1" applyAlignment="1">
      <alignment vertical="center"/>
    </xf>
    <xf numFmtId="173" fontId="6" fillId="7" borderId="11" xfId="0" applyNumberFormat="1" applyFont="1" applyFill="1" applyBorder="1" applyAlignment="1">
      <alignment vertical="center"/>
    </xf>
    <xf numFmtId="177" fontId="6" fillId="7" borderId="8" xfId="0" applyNumberFormat="1" applyFont="1" applyFill="1" applyBorder="1" applyAlignment="1">
      <alignment vertical="center"/>
    </xf>
    <xf numFmtId="177" fontId="6" fillId="7" borderId="9" xfId="0" applyNumberFormat="1" applyFont="1" applyFill="1" applyBorder="1" applyAlignment="1">
      <alignment vertical="center"/>
    </xf>
    <xf numFmtId="4" fontId="6" fillId="7" borderId="20" xfId="0" applyNumberFormat="1" applyFont="1" applyFill="1" applyBorder="1" applyAlignment="1">
      <alignment vertical="center"/>
    </xf>
    <xf numFmtId="175" fontId="6" fillId="6" borderId="6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1" fillId="0" borderId="0" xfId="0" applyFont="1"/>
    <xf numFmtId="169" fontId="8" fillId="8" borderId="12" xfId="0" applyNumberFormat="1" applyFont="1" applyFill="1" applyBorder="1"/>
    <xf numFmtId="169" fontId="8" fillId="8" borderId="14" xfId="0" applyNumberFormat="1" applyFont="1" applyFill="1" applyBorder="1"/>
    <xf numFmtId="0" fontId="8" fillId="8" borderId="12" xfId="0" applyFont="1" applyFill="1" applyBorder="1"/>
    <xf numFmtId="0" fontId="8" fillId="8" borderId="14" xfId="0" applyFont="1" applyFill="1" applyBorder="1"/>
    <xf numFmtId="169" fontId="8" fillId="8" borderId="28" xfId="0" applyNumberFormat="1" applyFont="1" applyFill="1" applyBorder="1"/>
    <xf numFmtId="169" fontId="6" fillId="4" borderId="27" xfId="0" applyNumberFormat="1" applyFont="1" applyFill="1" applyBorder="1"/>
    <xf numFmtId="0" fontId="28" fillId="0" borderId="0" xfId="0" applyFont="1" applyBorder="1" applyAlignment="1">
      <alignment horizontal="left" vertical="center" wrapText="1"/>
    </xf>
    <xf numFmtId="0" fontId="8" fillId="0" borderId="0" xfId="0" applyFont="1" applyBorder="1" applyAlignment="1"/>
    <xf numFmtId="0" fontId="33" fillId="0" borderId="0" xfId="0" applyFont="1"/>
    <xf numFmtId="172" fontId="2" fillId="3" borderId="25" xfId="2" applyNumberFormat="1" applyFont="1" applyFill="1" applyBorder="1" applyAlignment="1"/>
    <xf numFmtId="169" fontId="35" fillId="4" borderId="27" xfId="0" applyNumberFormat="1" applyFont="1" applyFill="1" applyBorder="1"/>
    <xf numFmtId="166" fontId="6" fillId="7" borderId="21" xfId="0" applyNumberFormat="1" applyFont="1" applyFill="1" applyBorder="1" applyAlignment="1">
      <alignment vertical="center"/>
    </xf>
    <xf numFmtId="0" fontId="24" fillId="0" borderId="39" xfId="0" applyFont="1" applyBorder="1" applyAlignment="1"/>
    <xf numFmtId="0" fontId="24" fillId="0" borderId="40" xfId="0" applyFont="1" applyBorder="1" applyAlignment="1"/>
    <xf numFmtId="0" fontId="24" fillId="0" borderId="41" xfId="0" applyFont="1" applyBorder="1" applyAlignment="1"/>
    <xf numFmtId="185" fontId="6" fillId="6" borderId="6" xfId="0" applyNumberFormat="1" applyFont="1" applyFill="1" applyBorder="1" applyAlignment="1">
      <alignment horizontal="center" vertical="center"/>
    </xf>
    <xf numFmtId="174" fontId="6" fillId="7" borderId="11" xfId="0" applyNumberFormat="1" applyFont="1" applyFill="1" applyBorder="1" applyAlignment="1">
      <alignment horizontal="center" vertical="center"/>
    </xf>
    <xf numFmtId="10" fontId="6" fillId="7" borderId="11" xfId="1" applyNumberFormat="1" applyFont="1" applyFill="1" applyBorder="1" applyAlignment="1">
      <alignment horizontal="center" vertical="center"/>
    </xf>
    <xf numFmtId="173" fontId="6" fillId="7" borderId="11" xfId="0" applyNumberFormat="1" applyFont="1" applyFill="1" applyBorder="1" applyAlignment="1">
      <alignment horizontal="center" vertical="center"/>
    </xf>
    <xf numFmtId="177" fontId="6" fillId="7" borderId="9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indent="1"/>
    </xf>
    <xf numFmtId="167" fontId="13" fillId="0" borderId="0" xfId="2" applyNumberFormat="1" applyFont="1" applyFill="1" applyBorder="1" applyAlignment="1">
      <alignment horizontal="center"/>
    </xf>
    <xf numFmtId="180" fontId="14" fillId="0" borderId="0" xfId="2" applyNumberFormat="1" applyFont="1" applyFill="1" applyBorder="1" applyAlignment="1">
      <alignment horizontal="center"/>
    </xf>
    <xf numFmtId="186" fontId="13" fillId="11" borderId="27" xfId="2" applyNumberFormat="1" applyFont="1" applyFill="1" applyBorder="1" applyAlignment="1">
      <alignment horizontal="center"/>
    </xf>
    <xf numFmtId="0" fontId="5" fillId="0" borderId="0" xfId="2" applyFont="1" applyBorder="1" applyAlignment="1">
      <alignment horizontal="left" vertical="center"/>
    </xf>
    <xf numFmtId="0" fontId="2" fillId="0" borderId="28" xfId="2" applyFont="1" applyBorder="1" applyAlignment="1">
      <alignment horizontal="left" indent="2"/>
    </xf>
    <xf numFmtId="168" fontId="14" fillId="11" borderId="14" xfId="1" applyNumberFormat="1" applyFont="1" applyFill="1" applyBorder="1" applyAlignment="1">
      <alignment horizontal="center"/>
    </xf>
    <xf numFmtId="0" fontId="37" fillId="0" borderId="0" xfId="0" applyFont="1"/>
    <xf numFmtId="0" fontId="37" fillId="0" borderId="0" xfId="0" applyFont="1" applyBorder="1"/>
    <xf numFmtId="0" fontId="37" fillId="0" borderId="0" xfId="0" applyFont="1" applyBorder="1" applyAlignment="1">
      <alignment horizontal="center"/>
    </xf>
    <xf numFmtId="0" fontId="37" fillId="0" borderId="0" xfId="0" applyFont="1" applyBorder="1" applyAlignment="1">
      <alignment vertical="center"/>
    </xf>
    <xf numFmtId="0" fontId="37" fillId="0" borderId="0" xfId="0" applyFont="1" applyBorder="1" applyAlignment="1">
      <alignment horizontal="center" vertical="center"/>
    </xf>
    <xf numFmtId="183" fontId="17" fillId="0" borderId="0" xfId="0" applyNumberFormat="1" applyFont="1" applyBorder="1"/>
    <xf numFmtId="170" fontId="14" fillId="0" borderId="0" xfId="2" applyNumberFormat="1" applyFont="1" applyFill="1" applyBorder="1" applyAlignment="1">
      <alignment horizontal="center" vertical="center"/>
    </xf>
    <xf numFmtId="0" fontId="2" fillId="0" borderId="0" xfId="2" applyFont="1" applyBorder="1" applyAlignment="1">
      <alignment horizontal="left" vertical="center"/>
    </xf>
    <xf numFmtId="0" fontId="31" fillId="0" borderId="0" xfId="13" applyFont="1" applyBorder="1" applyAlignment="1">
      <alignment horizontal="left"/>
    </xf>
    <xf numFmtId="0" fontId="32" fillId="0" borderId="0" xfId="13" applyFont="1" applyBorder="1" applyAlignment="1">
      <alignment horizontal="left"/>
    </xf>
    <xf numFmtId="168" fontId="14" fillId="0" borderId="14" xfId="1" applyNumberFormat="1" applyFont="1" applyFill="1" applyBorder="1" applyAlignment="1">
      <alignment horizontal="center"/>
    </xf>
    <xf numFmtId="0" fontId="2" fillId="0" borderId="28" xfId="2" applyFont="1" applyBorder="1" applyAlignment="1">
      <alignment horizontal="left" vertical="center" indent="1"/>
    </xf>
    <xf numFmtId="0" fontId="2" fillId="0" borderId="29" xfId="2" applyFont="1" applyBorder="1" applyAlignment="1">
      <alignment horizontal="left" vertical="center" indent="1"/>
    </xf>
    <xf numFmtId="182" fontId="14" fillId="0" borderId="14" xfId="2" applyNumberFormat="1" applyFont="1" applyFill="1" applyBorder="1" applyAlignment="1">
      <alignment horizontal="center"/>
    </xf>
    <xf numFmtId="167" fontId="14" fillId="0" borderId="28" xfId="2" applyNumberFormat="1" applyFont="1" applyFill="1" applyBorder="1" applyAlignment="1">
      <alignment horizontal="center"/>
    </xf>
    <xf numFmtId="182" fontId="14" fillId="11" borderId="14" xfId="2" applyNumberFormat="1" applyFont="1" applyFill="1" applyBorder="1" applyAlignment="1">
      <alignment horizontal="center"/>
    </xf>
    <xf numFmtId="165" fontId="13" fillId="0" borderId="4" xfId="2" applyNumberFormat="1" applyFont="1" applyFill="1" applyBorder="1" applyAlignment="1">
      <alignment horizontal="center"/>
    </xf>
    <xf numFmtId="176" fontId="14" fillId="11" borderId="7" xfId="2" applyNumberFormat="1" applyFont="1" applyFill="1" applyBorder="1" applyAlignment="1">
      <alignment horizontal="center"/>
    </xf>
    <xf numFmtId="169" fontId="14" fillId="11" borderId="13" xfId="2" applyNumberFormat="1" applyFont="1" applyFill="1" applyBorder="1" applyAlignment="1">
      <alignment horizontal="center"/>
    </xf>
    <xf numFmtId="0" fontId="2" fillId="0" borderId="13" xfId="2" applyBorder="1"/>
    <xf numFmtId="187" fontId="14" fillId="11" borderId="30" xfId="0" applyNumberFormat="1" applyFont="1" applyFill="1" applyBorder="1" applyAlignment="1">
      <alignment horizontal="center"/>
    </xf>
    <xf numFmtId="189" fontId="14" fillId="11" borderId="13" xfId="2" applyNumberFormat="1" applyFont="1" applyFill="1" applyBorder="1" applyAlignment="1">
      <alignment horizontal="center"/>
    </xf>
    <xf numFmtId="188" fontId="38" fillId="0" borderId="14" xfId="2" applyNumberFormat="1" applyFont="1" applyFill="1" applyBorder="1" applyAlignment="1">
      <alignment horizontal="center" vertical="center"/>
    </xf>
    <xf numFmtId="186" fontId="13" fillId="0" borderId="27" xfId="2" applyNumberFormat="1" applyFont="1" applyFill="1" applyBorder="1" applyAlignment="1">
      <alignment horizontal="center"/>
    </xf>
    <xf numFmtId="169" fontId="14" fillId="11" borderId="14" xfId="2" applyNumberFormat="1" applyFont="1" applyFill="1" applyBorder="1" applyAlignment="1">
      <alignment horizontal="center"/>
    </xf>
    <xf numFmtId="170" fontId="14" fillId="11" borderId="20" xfId="0" applyNumberFormat="1" applyFont="1" applyFill="1" applyBorder="1" applyAlignment="1"/>
    <xf numFmtId="169" fontId="6" fillId="7" borderId="4" xfId="2" applyNumberFormat="1" applyFont="1" applyFill="1" applyBorder="1" applyAlignment="1"/>
    <xf numFmtId="178" fontId="6" fillId="7" borderId="7" xfId="2" applyNumberFormat="1" applyFont="1" applyFill="1" applyBorder="1" applyAlignment="1"/>
    <xf numFmtId="167" fontId="13" fillId="0" borderId="22" xfId="2" applyNumberFormat="1" applyFont="1" applyFill="1" applyBorder="1" applyAlignment="1"/>
    <xf numFmtId="169" fontId="6" fillId="7" borderId="22" xfId="2" applyNumberFormat="1" applyFont="1" applyFill="1" applyBorder="1" applyAlignment="1"/>
    <xf numFmtId="172" fontId="13" fillId="11" borderId="27" xfId="2" applyNumberFormat="1" applyFont="1" applyFill="1" applyBorder="1" applyAlignment="1">
      <alignment horizontal="center"/>
    </xf>
    <xf numFmtId="0" fontId="5" fillId="0" borderId="1" xfId="2" applyFont="1" applyBorder="1"/>
    <xf numFmtId="0" fontId="14" fillId="0" borderId="1" xfId="2" applyFont="1" applyBorder="1" applyAlignment="1">
      <alignment horizontal="left"/>
    </xf>
    <xf numFmtId="0" fontId="5" fillId="0" borderId="1" xfId="2" applyFont="1" applyBorder="1" applyAlignment="1">
      <alignment horizontal="left" vertical="center"/>
    </xf>
    <xf numFmtId="9" fontId="14" fillId="11" borderId="1" xfId="1" applyFont="1" applyFill="1" applyBorder="1" applyAlignment="1">
      <alignment horizontal="center"/>
    </xf>
    <xf numFmtId="169" fontId="13" fillId="0" borderId="1" xfId="2" applyNumberFormat="1" applyFont="1" applyFill="1" applyBorder="1" applyAlignment="1">
      <alignment horizontal="center"/>
    </xf>
    <xf numFmtId="170" fontId="14" fillId="11" borderId="1" xfId="0" applyNumberFormat="1" applyFont="1" applyFill="1" applyBorder="1" applyAlignment="1"/>
    <xf numFmtId="167" fontId="13" fillId="0" borderId="1" xfId="2" applyNumberFormat="1" applyFont="1" applyBorder="1" applyAlignment="1">
      <alignment horizontal="center"/>
    </xf>
    <xf numFmtId="0" fontId="13" fillId="0" borderId="1" xfId="2" applyFont="1" applyBorder="1" applyAlignment="1">
      <alignment horizontal="left"/>
    </xf>
    <xf numFmtId="9" fontId="14" fillId="0" borderId="1" xfId="1" applyFont="1" applyFill="1" applyBorder="1" applyAlignment="1">
      <alignment horizontal="center"/>
    </xf>
    <xf numFmtId="190" fontId="14" fillId="11" borderId="1" xfId="0" applyNumberFormat="1" applyFont="1" applyFill="1" applyBorder="1" applyAlignment="1">
      <alignment horizontal="center"/>
    </xf>
    <xf numFmtId="170" fontId="14" fillId="0" borderId="1" xfId="0" applyNumberFormat="1" applyFont="1" applyFill="1" applyBorder="1" applyAlignment="1"/>
    <xf numFmtId="0" fontId="14" fillId="0" borderId="1" xfId="2" applyFont="1" applyBorder="1" applyAlignment="1">
      <alignment horizontal="left" indent="2"/>
    </xf>
    <xf numFmtId="167" fontId="14" fillId="11" borderId="1" xfId="2" applyNumberFormat="1" applyFont="1" applyFill="1" applyBorder="1" applyAlignment="1">
      <alignment horizontal="center"/>
    </xf>
    <xf numFmtId="165" fontId="28" fillId="0" borderId="33" xfId="0" applyNumberFormat="1" applyFont="1" applyBorder="1" applyAlignment="1">
      <alignment horizontal="left" vertical="center" wrapText="1"/>
    </xf>
    <xf numFmtId="165" fontId="28" fillId="0" borderId="34" xfId="0" applyNumberFormat="1" applyFont="1" applyBorder="1" applyAlignment="1">
      <alignment horizontal="left" vertical="center" wrapText="1"/>
    </xf>
    <xf numFmtId="165" fontId="28" fillId="0" borderId="35" xfId="0" applyNumberFormat="1" applyFont="1" applyBorder="1" applyAlignment="1">
      <alignment horizontal="left" vertical="center" wrapText="1"/>
    </xf>
    <xf numFmtId="165" fontId="28" fillId="0" borderId="36" xfId="0" applyNumberFormat="1" applyFont="1" applyBorder="1" applyAlignment="1">
      <alignment horizontal="left" vertical="center" wrapText="1"/>
    </xf>
    <xf numFmtId="165" fontId="28" fillId="0" borderId="37" xfId="0" applyNumberFormat="1" applyFont="1" applyBorder="1" applyAlignment="1">
      <alignment horizontal="left" vertical="center" wrapText="1"/>
    </xf>
    <xf numFmtId="165" fontId="28" fillId="0" borderId="38" xfId="0" applyNumberFormat="1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/>
    </xf>
    <xf numFmtId="0" fontId="28" fillId="0" borderId="33" xfId="0" applyFont="1" applyBorder="1" applyAlignment="1">
      <alignment horizontal="left" vertical="center" wrapText="1"/>
    </xf>
    <xf numFmtId="0" fontId="28" fillId="0" borderId="34" xfId="0" applyFont="1" applyBorder="1" applyAlignment="1">
      <alignment horizontal="left" vertical="center" wrapText="1"/>
    </xf>
    <xf numFmtId="0" fontId="28" fillId="0" borderId="35" xfId="0" applyFont="1" applyBorder="1" applyAlignment="1">
      <alignment horizontal="left" vertical="center" wrapText="1"/>
    </xf>
    <xf numFmtId="0" fontId="28" fillId="0" borderId="31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43" xfId="0" applyFont="1" applyBorder="1" applyAlignment="1">
      <alignment horizontal="left" vertical="center" wrapText="1"/>
    </xf>
    <xf numFmtId="0" fontId="28" fillId="0" borderId="36" xfId="0" applyFont="1" applyBorder="1" applyAlignment="1">
      <alignment horizontal="left" vertical="center" wrapText="1"/>
    </xf>
    <xf numFmtId="0" fontId="28" fillId="0" borderId="37" xfId="0" applyFont="1" applyBorder="1" applyAlignment="1">
      <alignment horizontal="left" vertical="center" wrapText="1"/>
    </xf>
    <xf numFmtId="0" fontId="28" fillId="0" borderId="38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center"/>
    </xf>
    <xf numFmtId="0" fontId="2" fillId="3" borderId="26" xfId="2" applyFont="1" applyFill="1" applyBorder="1" applyAlignment="1">
      <alignment horizontal="center" vertical="center"/>
    </xf>
    <xf numFmtId="0" fontId="2" fillId="3" borderId="25" xfId="2" applyFont="1" applyFill="1" applyBorder="1" applyAlignment="1">
      <alignment horizontal="center" vertical="center"/>
    </xf>
    <xf numFmtId="0" fontId="18" fillId="4" borderId="22" xfId="2" applyFont="1" applyFill="1" applyBorder="1" applyAlignment="1">
      <alignment horizontal="center" vertical="center"/>
    </xf>
    <xf numFmtId="0" fontId="18" fillId="4" borderId="23" xfId="2" applyFont="1" applyFill="1" applyBorder="1" applyAlignment="1">
      <alignment horizontal="center" vertical="center"/>
    </xf>
    <xf numFmtId="0" fontId="18" fillId="4" borderId="24" xfId="2" applyFont="1" applyFill="1" applyBorder="1" applyAlignment="1">
      <alignment horizontal="center" vertical="center"/>
    </xf>
    <xf numFmtId="0" fontId="26" fillId="10" borderId="2" xfId="0" applyFont="1" applyFill="1" applyBorder="1" applyAlignment="1">
      <alignment horizontal="center" vertical="center"/>
    </xf>
    <xf numFmtId="0" fontId="26" fillId="10" borderId="16" xfId="0" applyFont="1" applyFill="1" applyBorder="1" applyAlignment="1">
      <alignment horizontal="center" vertical="center"/>
    </xf>
    <xf numFmtId="0" fontId="26" fillId="10" borderId="17" xfId="0" applyFont="1" applyFill="1" applyBorder="1" applyAlignment="1">
      <alignment horizontal="center" vertical="center"/>
    </xf>
    <xf numFmtId="0" fontId="26" fillId="10" borderId="3" xfId="0" applyFont="1" applyFill="1" applyBorder="1" applyAlignment="1">
      <alignment horizontal="center" vertical="center"/>
    </xf>
    <xf numFmtId="0" fontId="26" fillId="10" borderId="18" xfId="0" applyFont="1" applyFill="1" applyBorder="1" applyAlignment="1">
      <alignment horizontal="center" vertical="center"/>
    </xf>
    <xf numFmtId="0" fontId="26" fillId="10" borderId="19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29" xfId="0" applyFont="1" applyFill="1" applyBorder="1" applyAlignment="1">
      <alignment horizontal="left" vertical="center"/>
    </xf>
    <xf numFmtId="172" fontId="2" fillId="3" borderId="26" xfId="2" applyNumberFormat="1" applyFont="1" applyFill="1" applyBorder="1" applyAlignment="1">
      <alignment horizontal="center"/>
    </xf>
    <xf numFmtId="172" fontId="2" fillId="3" borderId="32" xfId="2" applyNumberFormat="1" applyFont="1" applyFill="1" applyBorder="1" applyAlignment="1">
      <alignment horizontal="center"/>
    </xf>
    <xf numFmtId="172" fontId="2" fillId="3" borderId="25" xfId="2" applyNumberFormat="1" applyFont="1" applyFill="1" applyBorder="1" applyAlignment="1">
      <alignment horizontal="center"/>
    </xf>
    <xf numFmtId="0" fontId="2" fillId="0" borderId="28" xfId="2" applyFont="1" applyBorder="1" applyAlignment="1">
      <alignment horizontal="left" vertical="center"/>
    </xf>
    <xf numFmtId="0" fontId="2" fillId="0" borderId="29" xfId="2" applyFont="1" applyBorder="1" applyAlignment="1">
      <alignment horizontal="left" vertical="center"/>
    </xf>
    <xf numFmtId="170" fontId="14" fillId="0" borderId="28" xfId="2" applyNumberFormat="1" applyFont="1" applyFill="1" applyBorder="1" applyAlignment="1">
      <alignment horizontal="center" vertical="center"/>
    </xf>
    <xf numFmtId="170" fontId="14" fillId="0" borderId="29" xfId="2" applyNumberFormat="1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left" vertical="center"/>
    </xf>
    <xf numFmtId="0" fontId="6" fillId="6" borderId="29" xfId="0" applyFont="1" applyFill="1" applyBorder="1" applyAlignment="1">
      <alignment horizontal="left" vertical="center"/>
    </xf>
    <xf numFmtId="0" fontId="29" fillId="0" borderId="33" xfId="0" applyFont="1" applyBorder="1" applyAlignment="1">
      <alignment horizontal="left" vertical="center" wrapText="1"/>
    </xf>
    <xf numFmtId="0" fontId="29" fillId="0" borderId="34" xfId="0" applyFont="1" applyBorder="1" applyAlignment="1">
      <alignment horizontal="left" vertical="center" wrapText="1"/>
    </xf>
    <xf numFmtId="0" fontId="29" fillId="0" borderId="35" xfId="0" applyFont="1" applyBorder="1" applyAlignment="1">
      <alignment horizontal="left" vertical="center" wrapText="1"/>
    </xf>
    <xf numFmtId="0" fontId="29" fillId="0" borderId="36" xfId="0" applyFont="1" applyBorder="1" applyAlignment="1">
      <alignment horizontal="left" vertical="center" wrapText="1"/>
    </xf>
    <xf numFmtId="0" fontId="29" fillId="0" borderId="37" xfId="0" applyFont="1" applyBorder="1" applyAlignment="1">
      <alignment horizontal="left" vertical="center" wrapText="1"/>
    </xf>
    <xf numFmtId="0" fontId="29" fillId="0" borderId="38" xfId="0" applyFont="1" applyBorder="1" applyAlignment="1">
      <alignment horizontal="left" vertical="center" wrapText="1"/>
    </xf>
    <xf numFmtId="0" fontId="5" fillId="0" borderId="15" xfId="2" applyFont="1" applyBorder="1" applyAlignment="1">
      <alignment horizontal="left" vertical="center" wrapText="1"/>
    </xf>
    <xf numFmtId="0" fontId="5" fillId="0" borderId="42" xfId="2" applyFont="1" applyBorder="1" applyAlignment="1">
      <alignment horizontal="left" vertical="center"/>
    </xf>
    <xf numFmtId="0" fontId="17" fillId="0" borderId="0" xfId="0" applyFont="1" applyBorder="1" applyAlignment="1">
      <alignment horizontal="left"/>
    </xf>
    <xf numFmtId="0" fontId="24" fillId="0" borderId="1" xfId="2" applyFont="1" applyBorder="1" applyAlignment="1">
      <alignment horizontal="center"/>
    </xf>
    <xf numFmtId="169" fontId="14" fillId="0" borderId="15" xfId="2" applyNumberFormat="1" applyFont="1" applyFill="1" applyBorder="1" applyAlignment="1">
      <alignment horizontal="left" vertical="center"/>
    </xf>
    <xf numFmtId="169" fontId="14" fillId="0" borderId="30" xfId="2" applyNumberFormat="1" applyFont="1" applyFill="1" applyBorder="1" applyAlignment="1">
      <alignment horizontal="left" vertical="center"/>
    </xf>
    <xf numFmtId="169" fontId="14" fillId="0" borderId="29" xfId="2" applyNumberFormat="1" applyFont="1" applyFill="1" applyBorder="1" applyAlignment="1">
      <alignment horizontal="left" vertical="center"/>
    </xf>
    <xf numFmtId="169" fontId="14" fillId="0" borderId="15" xfId="2" applyNumberFormat="1" applyFont="1" applyFill="1" applyBorder="1" applyAlignment="1">
      <alignment horizontal="center" vertical="center"/>
    </xf>
    <xf numFmtId="169" fontId="14" fillId="0" borderId="30" xfId="2" applyNumberFormat="1" applyFont="1" applyFill="1" applyBorder="1" applyAlignment="1">
      <alignment horizontal="center" vertical="center"/>
    </xf>
    <xf numFmtId="169" fontId="14" fillId="0" borderId="29" xfId="2" applyNumberFormat="1" applyFont="1" applyFill="1" applyBorder="1" applyAlignment="1">
      <alignment horizontal="center" vertical="center"/>
    </xf>
    <xf numFmtId="0" fontId="2" fillId="3" borderId="26" xfId="2" applyFont="1" applyFill="1" applyBorder="1" applyAlignment="1">
      <alignment horizontal="center"/>
    </xf>
    <xf numFmtId="0" fontId="2" fillId="3" borderId="32" xfId="2" applyFont="1" applyFill="1" applyBorder="1" applyAlignment="1">
      <alignment horizontal="center"/>
    </xf>
    <xf numFmtId="0" fontId="2" fillId="3" borderId="25" xfId="2" applyFont="1" applyFill="1" applyBorder="1" applyAlignment="1">
      <alignment horizontal="center"/>
    </xf>
    <xf numFmtId="0" fontId="24" fillId="0" borderId="39" xfId="2" applyFont="1" applyBorder="1" applyAlignment="1">
      <alignment horizontal="center"/>
    </xf>
    <xf numFmtId="0" fontId="24" fillId="0" borderId="40" xfId="2" applyFont="1" applyBorder="1" applyAlignment="1">
      <alignment horizontal="center"/>
    </xf>
    <xf numFmtId="0" fontId="24" fillId="0" borderId="41" xfId="2" applyFont="1" applyBorder="1" applyAlignment="1">
      <alignment horizontal="center"/>
    </xf>
    <xf numFmtId="0" fontId="2" fillId="0" borderId="28" xfId="2" applyBorder="1" applyAlignment="1">
      <alignment horizontal="left" vertical="center" wrapText="1"/>
    </xf>
    <xf numFmtId="0" fontId="2" fillId="0" borderId="42" xfId="2" applyBorder="1" applyAlignment="1">
      <alignment horizontal="left" vertical="center" wrapText="1"/>
    </xf>
    <xf numFmtId="4" fontId="6" fillId="7" borderId="10" xfId="0" applyNumberFormat="1" applyFont="1" applyFill="1" applyBorder="1" applyAlignment="1">
      <alignment horizontal="left" vertical="center"/>
    </xf>
    <xf numFmtId="4" fontId="6" fillId="7" borderId="7" xfId="0" applyNumberFormat="1" applyFont="1" applyFill="1" applyBorder="1" applyAlignment="1">
      <alignment horizontal="left" vertical="center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</cellXfs>
  <cellStyles count="14">
    <cellStyle name="Heading" xfId="3" xr:uid="{00000000-0005-0000-0000-000000000000}"/>
    <cellStyle name="Heading 2" xfId="8" xr:uid="{00000000-0005-0000-0000-000001000000}"/>
    <cellStyle name="Heading1" xfId="4" xr:uid="{00000000-0005-0000-0000-000002000000}"/>
    <cellStyle name="Heading1 2" xfId="9" xr:uid="{00000000-0005-0000-0000-000003000000}"/>
    <cellStyle name="Link" xfId="13" builtinId="8"/>
    <cellStyle name="Prozent" xfId="1" builtinId="5"/>
    <cellStyle name="Prozent 2" xfId="12" xr:uid="{00000000-0005-0000-0000-000005000000}"/>
    <cellStyle name="Result" xfId="5" xr:uid="{00000000-0005-0000-0000-000006000000}"/>
    <cellStyle name="Result 2" xfId="10" xr:uid="{00000000-0005-0000-0000-000007000000}"/>
    <cellStyle name="Result2" xfId="6" xr:uid="{00000000-0005-0000-0000-000008000000}"/>
    <cellStyle name="Result2 2" xfId="11" xr:uid="{00000000-0005-0000-0000-000009000000}"/>
    <cellStyle name="Standard" xfId="0" builtinId="0"/>
    <cellStyle name="Standard 2" xfId="2" xr:uid="{00000000-0005-0000-0000-00000B000000}"/>
    <cellStyle name="Standard 3" xfId="7" xr:uid="{00000000-0005-0000-0000-00000C000000}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9E4EF-016C-404F-9CF4-013ED46CC76F}">
  <dimension ref="B1:AD130"/>
  <sheetViews>
    <sheetView tabSelected="1" zoomScaleNormal="100" workbookViewId="0">
      <pane ySplit="7" topLeftCell="A8" activePane="bottomLeft" state="frozen"/>
      <selection pane="bottomLeft" activeCell="B7" sqref="B7"/>
    </sheetView>
  </sheetViews>
  <sheetFormatPr baseColWidth="10" defaultRowHeight="14.25" x14ac:dyDescent="0.2"/>
  <cols>
    <col min="1" max="1" width="5.7109375" style="7" customWidth="1"/>
    <col min="2" max="2" width="48.28515625" style="7" bestFit="1" customWidth="1"/>
    <col min="3" max="3" width="1.28515625" style="7" customWidth="1"/>
    <col min="4" max="4" width="15.7109375" style="7" customWidth="1"/>
    <col min="5" max="5" width="3.28515625" style="7" customWidth="1"/>
    <col min="6" max="6" width="0.7109375" style="7" customWidth="1"/>
    <col min="7" max="7" width="3.28515625" style="7" customWidth="1"/>
    <col min="8" max="8" width="15.7109375" style="7" customWidth="1"/>
    <col min="9" max="9" width="3.28515625" style="7" customWidth="1"/>
    <col min="10" max="10" width="0.7109375" style="7" customWidth="1"/>
    <col min="11" max="11" width="3.28515625" style="7" customWidth="1"/>
    <col min="12" max="12" width="15.7109375" style="7" customWidth="1"/>
    <col min="13" max="13" width="1.42578125" style="7" customWidth="1"/>
    <col min="14" max="14" width="55.85546875" style="7" bestFit="1" customWidth="1"/>
    <col min="15" max="15" width="3.28515625" style="7" customWidth="1"/>
    <col min="16" max="16" width="11.42578125" style="7"/>
    <col min="17" max="17" width="12.85546875" style="7" customWidth="1"/>
    <col min="18" max="26" width="15.7109375" style="7" customWidth="1"/>
    <col min="27" max="27" width="11.42578125" style="7"/>
    <col min="28" max="28" width="19.5703125" style="7" bestFit="1" customWidth="1"/>
    <col min="29" max="29" width="13.7109375" style="7" bestFit="1" customWidth="1"/>
    <col min="30" max="16384" width="11.42578125" style="7"/>
  </cols>
  <sheetData>
    <row r="1" spans="2:30" ht="15" thickBot="1" x14ac:dyDescent="0.25"/>
    <row r="2" spans="2:30" ht="21" customHeight="1" x14ac:dyDescent="0.2">
      <c r="B2" s="266" t="s">
        <v>124</v>
      </c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8"/>
      <c r="O2" s="61"/>
    </row>
    <row r="3" spans="2:30" ht="21" customHeight="1" thickBot="1" x14ac:dyDescent="0.25">
      <c r="B3" s="269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1"/>
      <c r="O3" s="61"/>
    </row>
    <row r="4" spans="2:30" ht="15.75" customHeight="1" x14ac:dyDescent="0.2">
      <c r="B4" s="142" t="s">
        <v>23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</row>
    <row r="5" spans="2:30" ht="15.75" customHeight="1" thickBot="1" x14ac:dyDescent="0.25">
      <c r="B5" s="72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Z5" s="200"/>
      <c r="AA5" s="200"/>
      <c r="AB5" s="200"/>
      <c r="AC5" s="200"/>
      <c r="AD5" s="200"/>
    </row>
    <row r="6" spans="2:30" ht="33" customHeight="1" thickBot="1" x14ac:dyDescent="0.25">
      <c r="B6" s="122" t="s">
        <v>132</v>
      </c>
      <c r="C6" s="74"/>
      <c r="D6" s="100" t="s">
        <v>93</v>
      </c>
      <c r="E6" s="74"/>
      <c r="F6" s="261"/>
      <c r="G6" s="74"/>
      <c r="H6" s="100" t="s">
        <v>113</v>
      </c>
      <c r="I6" s="74"/>
      <c r="J6" s="261"/>
      <c r="K6" s="74"/>
      <c r="L6" s="263" t="s">
        <v>39</v>
      </c>
      <c r="M6" s="264"/>
      <c r="N6" s="265"/>
      <c r="O6" s="73"/>
      <c r="Z6" s="200"/>
      <c r="AA6" s="200"/>
      <c r="AB6" s="200"/>
      <c r="AC6" s="200"/>
      <c r="AD6" s="200"/>
    </row>
    <row r="7" spans="2:30" ht="33.75" customHeight="1" thickBot="1" x14ac:dyDescent="0.25">
      <c r="B7" s="99" t="s">
        <v>40</v>
      </c>
      <c r="C7" s="74"/>
      <c r="D7" s="102" t="s">
        <v>94</v>
      </c>
      <c r="E7" s="74"/>
      <c r="F7" s="262"/>
      <c r="G7" s="74"/>
      <c r="H7" s="102" t="s">
        <v>94</v>
      </c>
      <c r="I7" s="74"/>
      <c r="J7" s="262"/>
      <c r="K7" s="74"/>
      <c r="L7" s="123"/>
      <c r="M7" s="123"/>
      <c r="N7" s="123"/>
      <c r="O7" s="73"/>
      <c r="Z7" s="200"/>
      <c r="AA7" s="200"/>
      <c r="AB7" s="200"/>
      <c r="AC7" s="200"/>
      <c r="AD7" s="200"/>
    </row>
    <row r="8" spans="2:30" ht="15.75" customHeight="1" thickBot="1" x14ac:dyDescent="0.25"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73"/>
      <c r="Z8" s="200"/>
      <c r="AA8" s="200"/>
      <c r="AB8" s="200"/>
      <c r="AC8" s="200"/>
      <c r="AD8" s="200"/>
    </row>
    <row r="9" spans="2:30" ht="15.75" customHeight="1" thickBot="1" x14ac:dyDescent="0.25">
      <c r="B9" s="72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Z9" s="200"/>
      <c r="AA9" s="201"/>
      <c r="AB9" s="202" t="s">
        <v>42</v>
      </c>
      <c r="AC9" s="201"/>
      <c r="AD9" s="200"/>
    </row>
    <row r="10" spans="2:30" ht="15.75" thickBot="1" x14ac:dyDescent="0.3">
      <c r="B10" s="29" t="s">
        <v>2</v>
      </c>
      <c r="C10" s="75"/>
      <c r="D10" s="230">
        <v>350</v>
      </c>
      <c r="E10" s="76"/>
      <c r="F10" s="274"/>
      <c r="G10" s="77"/>
      <c r="H10" s="44">
        <f>D10</f>
        <v>350</v>
      </c>
      <c r="I10" s="76"/>
      <c r="J10" s="274"/>
      <c r="K10" s="77"/>
      <c r="L10" s="44">
        <f>H10</f>
        <v>350</v>
      </c>
      <c r="M10" s="76"/>
      <c r="N10" s="29" t="s">
        <v>2</v>
      </c>
      <c r="O10" s="78"/>
      <c r="Z10" s="200"/>
      <c r="AA10" s="203"/>
      <c r="AB10" s="204" t="s">
        <v>41</v>
      </c>
      <c r="AC10" s="201"/>
      <c r="AD10" s="200"/>
    </row>
    <row r="11" spans="2:30" ht="15" thickBot="1" x14ac:dyDescent="0.25">
      <c r="B11" s="75"/>
      <c r="C11" s="75"/>
      <c r="D11" s="4"/>
      <c r="E11" s="75"/>
      <c r="F11" s="275"/>
      <c r="G11" s="79"/>
      <c r="H11" s="4"/>
      <c r="I11" s="75"/>
      <c r="J11" s="275"/>
      <c r="K11" s="79"/>
      <c r="L11" s="4"/>
      <c r="M11" s="75"/>
      <c r="N11" s="75"/>
      <c r="O11" s="80"/>
      <c r="Z11" s="200"/>
      <c r="AA11" s="203"/>
      <c r="AB11" s="204" t="s">
        <v>3</v>
      </c>
      <c r="AC11" s="201"/>
      <c r="AD11" s="200"/>
    </row>
    <row r="12" spans="2:30" ht="15" x14ac:dyDescent="0.25">
      <c r="B12" s="17" t="s">
        <v>76</v>
      </c>
      <c r="C12" s="75"/>
      <c r="D12" s="216">
        <f>D10*D13/1000</f>
        <v>22.75</v>
      </c>
      <c r="E12" s="75"/>
      <c r="F12" s="275"/>
      <c r="G12" s="79"/>
      <c r="H12" s="30">
        <f>D12</f>
        <v>22.75</v>
      </c>
      <c r="I12" s="75"/>
      <c r="J12" s="275"/>
      <c r="K12" s="79"/>
      <c r="L12" s="30">
        <f>H12</f>
        <v>22.75</v>
      </c>
      <c r="M12" s="75"/>
      <c r="N12" s="17" t="s">
        <v>76</v>
      </c>
      <c r="O12" s="80"/>
      <c r="P12" s="250" t="s">
        <v>89</v>
      </c>
      <c r="Q12" s="250"/>
      <c r="R12" s="250"/>
      <c r="S12" s="250"/>
      <c r="T12" s="250"/>
      <c r="U12" s="250"/>
      <c r="V12" s="250"/>
      <c r="Z12" s="200"/>
      <c r="AA12" s="201"/>
      <c r="AB12" s="201"/>
      <c r="AC12" s="201"/>
      <c r="AD12" s="200"/>
    </row>
    <row r="13" spans="2:30" ht="15" thickBot="1" x14ac:dyDescent="0.25">
      <c r="B13" s="81" t="s">
        <v>35</v>
      </c>
      <c r="C13" s="75"/>
      <c r="D13" s="217">
        <v>65</v>
      </c>
      <c r="E13" s="75"/>
      <c r="F13" s="275"/>
      <c r="G13" s="79"/>
      <c r="H13" s="43">
        <f>D13</f>
        <v>65</v>
      </c>
      <c r="I13" s="75"/>
      <c r="J13" s="275"/>
      <c r="K13" s="79"/>
      <c r="L13" s="43">
        <f>H13</f>
        <v>65</v>
      </c>
      <c r="M13" s="75"/>
      <c r="N13" s="81" t="s">
        <v>35</v>
      </c>
      <c r="O13" s="82"/>
      <c r="P13" s="180"/>
      <c r="Q13" s="180"/>
      <c r="R13" s="180"/>
      <c r="S13" s="180"/>
      <c r="Z13" s="200"/>
      <c r="AA13" s="201"/>
      <c r="AB13" s="201"/>
      <c r="AC13" s="201"/>
      <c r="AD13" s="200"/>
    </row>
    <row r="14" spans="2:30" ht="15" thickBot="1" x14ac:dyDescent="0.25">
      <c r="B14" s="75"/>
      <c r="C14" s="75"/>
      <c r="D14" s="18"/>
      <c r="E14" s="75"/>
      <c r="F14" s="275"/>
      <c r="G14" s="79"/>
      <c r="H14" s="18"/>
      <c r="I14" s="75"/>
      <c r="J14" s="275"/>
      <c r="K14" s="79"/>
      <c r="L14" s="18"/>
      <c r="M14" s="75"/>
      <c r="N14" s="75"/>
      <c r="O14" s="80"/>
      <c r="Z14" s="200"/>
      <c r="AA14" s="260" t="s">
        <v>43</v>
      </c>
      <c r="AB14" s="260"/>
      <c r="AC14" s="260"/>
      <c r="AD14" s="200"/>
    </row>
    <row r="15" spans="2:30" ht="15.75" thickBot="1" x14ac:dyDescent="0.3">
      <c r="B15" s="19" t="s">
        <v>130</v>
      </c>
      <c r="C15" s="75"/>
      <c r="D15" s="196">
        <v>18</v>
      </c>
      <c r="E15" s="75"/>
      <c r="F15" s="275"/>
      <c r="G15" s="79"/>
      <c r="H15" s="223">
        <f>(D60-H54)/H18/H17</f>
        <v>27.486029665401862</v>
      </c>
      <c r="I15" s="75"/>
      <c r="J15" s="275"/>
      <c r="K15" s="79"/>
      <c r="L15" s="42">
        <f>L19/L17</f>
        <v>29270.938775510203</v>
      </c>
      <c r="M15" s="75"/>
      <c r="N15" s="19" t="s">
        <v>123</v>
      </c>
      <c r="O15" s="80"/>
      <c r="P15" s="250" t="s">
        <v>131</v>
      </c>
      <c r="Q15" s="250"/>
      <c r="R15" s="250"/>
      <c r="S15" s="250"/>
      <c r="T15" s="250"/>
      <c r="U15" s="250"/>
      <c r="V15" s="250"/>
      <c r="Z15" s="200"/>
      <c r="AA15" s="201" t="s">
        <v>44</v>
      </c>
      <c r="AB15" s="202" t="s">
        <v>33</v>
      </c>
      <c r="AC15" s="202" t="s">
        <v>3</v>
      </c>
      <c r="AD15" s="200"/>
    </row>
    <row r="16" spans="2:30" ht="15.75" thickBot="1" x14ac:dyDescent="0.3">
      <c r="B16" s="197"/>
      <c r="C16" s="75"/>
      <c r="D16" s="194"/>
      <c r="E16" s="75"/>
      <c r="F16" s="275"/>
      <c r="G16" s="79"/>
      <c r="H16" s="194"/>
      <c r="I16" s="75"/>
      <c r="J16" s="275"/>
      <c r="K16" s="79"/>
      <c r="L16" s="194"/>
      <c r="M16" s="75"/>
      <c r="N16" s="197"/>
      <c r="O16" s="80"/>
      <c r="P16" s="179"/>
      <c r="Q16" s="179"/>
      <c r="R16" s="179"/>
      <c r="S16" s="179"/>
      <c r="T16" s="179"/>
      <c r="U16" s="179"/>
      <c r="V16" s="179"/>
      <c r="Z16" s="200"/>
      <c r="AA16" s="201"/>
      <c r="AB16" s="201"/>
      <c r="AC16" s="201"/>
      <c r="AD16" s="200"/>
    </row>
    <row r="17" spans="2:30" x14ac:dyDescent="0.2">
      <c r="B17" s="83" t="s">
        <v>95</v>
      </c>
      <c r="C17" s="75"/>
      <c r="D17" s="146">
        <v>0.78</v>
      </c>
      <c r="E17" s="75"/>
      <c r="F17" s="275"/>
      <c r="G17" s="79"/>
      <c r="H17" s="146">
        <v>0.78</v>
      </c>
      <c r="I17" s="75"/>
      <c r="J17" s="275"/>
      <c r="K17" s="79"/>
      <c r="L17" s="52">
        <v>0.98</v>
      </c>
      <c r="M17" s="75"/>
      <c r="N17" s="83" t="s">
        <v>38</v>
      </c>
      <c r="O17" s="80"/>
      <c r="P17" s="251" t="s">
        <v>118</v>
      </c>
      <c r="Q17" s="252"/>
      <c r="R17" s="252"/>
      <c r="S17" s="253"/>
      <c r="T17" s="179"/>
      <c r="U17" s="179"/>
      <c r="V17" s="179"/>
      <c r="Z17" s="200"/>
      <c r="AA17" s="201"/>
      <c r="AB17" s="201"/>
      <c r="AC17" s="201"/>
      <c r="AD17" s="200"/>
    </row>
    <row r="18" spans="2:30" x14ac:dyDescent="0.2">
      <c r="B18" s="84" t="s">
        <v>96</v>
      </c>
      <c r="C18" s="75"/>
      <c r="D18" s="36">
        <f>D19*$AC$29+D20*$AC$30</f>
        <v>1338</v>
      </c>
      <c r="E18" s="75"/>
      <c r="F18" s="275"/>
      <c r="G18" s="79"/>
      <c r="H18" s="36">
        <f>H19*$AC$29+H20*$AC$30</f>
        <v>1338</v>
      </c>
      <c r="I18" s="75"/>
      <c r="J18" s="275"/>
      <c r="K18" s="79"/>
      <c r="L18" s="31"/>
      <c r="M18" s="75"/>
      <c r="N18" s="84"/>
      <c r="O18" s="80"/>
      <c r="P18" s="254"/>
      <c r="Q18" s="255"/>
      <c r="R18" s="255"/>
      <c r="S18" s="256"/>
      <c r="T18" s="179"/>
      <c r="U18" s="179"/>
      <c r="V18" s="179"/>
      <c r="Z18" s="200"/>
      <c r="AA18" s="201"/>
      <c r="AB18" s="201"/>
      <c r="AC18" s="201"/>
      <c r="AD18" s="200"/>
    </row>
    <row r="19" spans="2:30" ht="15.75" thickBot="1" x14ac:dyDescent="0.3">
      <c r="B19" s="198" t="s">
        <v>53</v>
      </c>
      <c r="C19" s="75"/>
      <c r="D19" s="199">
        <v>0.5</v>
      </c>
      <c r="E19" s="75"/>
      <c r="F19" s="275"/>
      <c r="G19" s="79"/>
      <c r="H19" s="210">
        <f>D19</f>
        <v>0.5</v>
      </c>
      <c r="I19" s="75"/>
      <c r="J19" s="275"/>
      <c r="K19" s="79"/>
      <c r="L19" s="34">
        <f>D21+D36</f>
        <v>28685.52</v>
      </c>
      <c r="M19" s="75"/>
      <c r="N19" s="33" t="s">
        <v>34</v>
      </c>
      <c r="O19" s="80"/>
      <c r="P19" s="257"/>
      <c r="Q19" s="258"/>
      <c r="R19" s="258"/>
      <c r="S19" s="259"/>
      <c r="T19" s="179"/>
      <c r="U19" s="179"/>
      <c r="V19" s="179"/>
      <c r="Z19" s="200"/>
      <c r="AA19" s="201"/>
      <c r="AB19" s="201"/>
      <c r="AC19" s="201"/>
      <c r="AD19" s="200"/>
    </row>
    <row r="20" spans="2:30" ht="15" x14ac:dyDescent="0.25">
      <c r="B20" s="198" t="s">
        <v>54</v>
      </c>
      <c r="C20" s="75"/>
      <c r="D20" s="210">
        <f>1-D19</f>
        <v>0.5</v>
      </c>
      <c r="E20" s="75"/>
      <c r="F20" s="275"/>
      <c r="G20" s="79"/>
      <c r="H20" s="210">
        <f>1-H19</f>
        <v>0.5</v>
      </c>
      <c r="I20" s="75"/>
      <c r="J20" s="275"/>
      <c r="K20" s="79"/>
      <c r="L20" s="194"/>
      <c r="M20" s="75"/>
      <c r="N20" s="197"/>
      <c r="O20" s="80"/>
      <c r="P20" s="179"/>
      <c r="Q20" s="179"/>
      <c r="R20" s="179"/>
      <c r="S20" s="179"/>
      <c r="T20" s="179"/>
      <c r="U20" s="179"/>
      <c r="V20" s="179"/>
      <c r="Z20" s="200"/>
      <c r="AA20" s="201"/>
      <c r="AB20" s="201"/>
      <c r="AC20" s="201"/>
      <c r="AD20" s="200"/>
    </row>
    <row r="21" spans="2:30" ht="15.75" thickBot="1" x14ac:dyDescent="0.3">
      <c r="B21" s="33" t="s">
        <v>34</v>
      </c>
      <c r="C21" s="75"/>
      <c r="D21" s="34">
        <f>D18*D15*D17</f>
        <v>18785.52</v>
      </c>
      <c r="E21" s="75"/>
      <c r="F21" s="275"/>
      <c r="G21" s="79"/>
      <c r="H21" s="34">
        <f>H18*H15*H17</f>
        <v>28685.519999999997</v>
      </c>
      <c r="I21" s="75"/>
      <c r="J21" s="275"/>
      <c r="K21" s="79"/>
      <c r="L21" s="194"/>
      <c r="M21" s="75"/>
      <c r="N21" s="197"/>
      <c r="O21" s="80"/>
      <c r="P21" s="179"/>
      <c r="Q21" s="179"/>
      <c r="R21" s="179"/>
      <c r="S21" s="179"/>
      <c r="T21" s="179"/>
      <c r="U21" s="179"/>
      <c r="V21" s="179"/>
      <c r="Z21" s="200"/>
      <c r="AA21" s="201"/>
      <c r="AB21" s="201"/>
      <c r="AC21" s="201"/>
      <c r="AD21" s="200"/>
    </row>
    <row r="22" spans="2:30" ht="15.75" thickBot="1" x14ac:dyDescent="0.3">
      <c r="B22" s="74"/>
      <c r="C22" s="75"/>
      <c r="D22" s="195"/>
      <c r="E22" s="20"/>
      <c r="F22" s="275"/>
      <c r="G22" s="54"/>
      <c r="H22" s="195"/>
      <c r="I22" s="20"/>
      <c r="J22" s="275"/>
      <c r="K22" s="54"/>
      <c r="L22" s="206"/>
      <c r="M22" s="20"/>
      <c r="N22" s="207"/>
      <c r="O22" s="48"/>
      <c r="P22" s="208"/>
      <c r="Q22" s="208"/>
      <c r="R22" s="208"/>
      <c r="S22" s="208"/>
      <c r="T22" s="209"/>
      <c r="U22" s="209"/>
      <c r="V22" s="209"/>
      <c r="Z22" s="200"/>
      <c r="AA22" s="201"/>
      <c r="AB22" s="201"/>
      <c r="AC22" s="201"/>
      <c r="AD22" s="200"/>
    </row>
    <row r="23" spans="2:30" ht="15" customHeight="1" x14ac:dyDescent="0.25">
      <c r="B23" s="289" t="s">
        <v>108</v>
      </c>
      <c r="C23" s="75"/>
      <c r="D23" s="35">
        <f>D24*D15</f>
        <v>1170</v>
      </c>
      <c r="E23" s="20"/>
      <c r="F23" s="275"/>
      <c r="G23" s="54"/>
      <c r="H23" s="35">
        <f>H24*H15</f>
        <v>1786.5919282511211</v>
      </c>
      <c r="I23" s="20"/>
      <c r="J23" s="275"/>
      <c r="K23" s="54"/>
      <c r="L23" s="35">
        <f>L15*L24/100</f>
        <v>1902.6110204081633</v>
      </c>
      <c r="M23" s="4"/>
      <c r="N23" s="17" t="s">
        <v>102</v>
      </c>
      <c r="O23" s="48"/>
      <c r="P23" s="251" t="s">
        <v>107</v>
      </c>
      <c r="Q23" s="252"/>
      <c r="R23" s="252"/>
      <c r="S23" s="252"/>
      <c r="T23" s="252"/>
      <c r="U23" s="252"/>
      <c r="V23" s="253"/>
      <c r="Z23" s="200"/>
      <c r="AA23" s="201"/>
      <c r="AB23" s="201"/>
      <c r="AC23" s="201"/>
      <c r="AD23" s="200"/>
    </row>
    <row r="24" spans="2:30" x14ac:dyDescent="0.2">
      <c r="B24" s="290"/>
      <c r="C24" s="75"/>
      <c r="D24" s="213">
        <f>(D19*D25+D20*D26)</f>
        <v>65</v>
      </c>
      <c r="E24" s="20"/>
      <c r="F24" s="275"/>
      <c r="G24" s="54"/>
      <c r="H24" s="213">
        <f>(H19*H25+H20*H26)</f>
        <v>65</v>
      </c>
      <c r="I24" s="20"/>
      <c r="J24" s="275"/>
      <c r="K24" s="54"/>
      <c r="L24" s="279">
        <v>6.5</v>
      </c>
      <c r="M24" s="75"/>
      <c r="N24" s="277" t="s">
        <v>37</v>
      </c>
      <c r="O24" s="48"/>
      <c r="P24" s="254"/>
      <c r="Q24" s="255"/>
      <c r="R24" s="255"/>
      <c r="S24" s="255"/>
      <c r="T24" s="255"/>
      <c r="U24" s="255"/>
      <c r="V24" s="256"/>
      <c r="Z24" s="200"/>
      <c r="AA24" s="201"/>
      <c r="AB24" s="201"/>
      <c r="AC24" s="201"/>
      <c r="AD24" s="200"/>
    </row>
    <row r="25" spans="2:30" ht="15" customHeight="1" thickBot="1" x14ac:dyDescent="0.25">
      <c r="B25" s="211" t="s">
        <v>97</v>
      </c>
      <c r="C25" s="75"/>
      <c r="D25" s="215">
        <v>73.329317269076313</v>
      </c>
      <c r="E25" s="20"/>
      <c r="F25" s="275"/>
      <c r="G25" s="54"/>
      <c r="H25" s="213">
        <f>D25</f>
        <v>73.329317269076313</v>
      </c>
      <c r="I25" s="20"/>
      <c r="J25" s="275"/>
      <c r="K25" s="54"/>
      <c r="L25" s="280"/>
      <c r="M25" s="20"/>
      <c r="N25" s="278"/>
      <c r="O25" s="48"/>
      <c r="P25" s="254"/>
      <c r="Q25" s="255"/>
      <c r="R25" s="255"/>
      <c r="S25" s="255"/>
      <c r="T25" s="255"/>
      <c r="U25" s="255"/>
      <c r="V25" s="256"/>
      <c r="Z25" s="200"/>
      <c r="AA25" s="201"/>
      <c r="AB25" s="201"/>
      <c r="AC25" s="201"/>
      <c r="AD25" s="200"/>
    </row>
    <row r="26" spans="2:30" ht="15.75" customHeight="1" thickBot="1" x14ac:dyDescent="0.25">
      <c r="B26" s="212" t="s">
        <v>98</v>
      </c>
      <c r="C26" s="75"/>
      <c r="D26" s="149">
        <v>56.670682730923687</v>
      </c>
      <c r="E26" s="20"/>
      <c r="F26" s="275"/>
      <c r="G26" s="54"/>
      <c r="H26" s="114">
        <f>D26</f>
        <v>56.670682730923687</v>
      </c>
      <c r="I26" s="20"/>
      <c r="J26" s="275"/>
      <c r="K26" s="54"/>
      <c r="L26" s="206"/>
      <c r="M26" s="20"/>
      <c r="N26" s="207"/>
      <c r="O26" s="48"/>
      <c r="P26" s="257"/>
      <c r="Q26" s="258"/>
      <c r="R26" s="258"/>
      <c r="S26" s="258"/>
      <c r="T26" s="258"/>
      <c r="U26" s="258"/>
      <c r="V26" s="259"/>
      <c r="Z26" s="200"/>
      <c r="AA26" s="201" t="s">
        <v>99</v>
      </c>
      <c r="AB26" s="201"/>
      <c r="AC26" s="201">
        <v>91.295000000000002</v>
      </c>
      <c r="AD26" s="200"/>
    </row>
    <row r="27" spans="2:30" ht="15" thickBot="1" x14ac:dyDescent="0.25">
      <c r="F27" s="275"/>
      <c r="G27" s="85"/>
      <c r="J27" s="275"/>
      <c r="K27" s="85"/>
      <c r="N27" s="86"/>
      <c r="O27" s="86"/>
      <c r="Z27" s="200"/>
      <c r="AA27" s="201" t="s">
        <v>100</v>
      </c>
      <c r="AB27" s="201"/>
      <c r="AC27" s="201">
        <v>70.554999999999993</v>
      </c>
      <c r="AD27" s="200"/>
    </row>
    <row r="28" spans="2:30" ht="15" x14ac:dyDescent="0.25">
      <c r="B28" s="21" t="s">
        <v>24</v>
      </c>
      <c r="C28" s="75"/>
      <c r="D28" s="35">
        <f>(D29*D30)/100</f>
        <v>76.81399128000001</v>
      </c>
      <c r="E28" s="22"/>
      <c r="F28" s="275"/>
      <c r="G28" s="55"/>
      <c r="H28" s="35">
        <f>(H29*H30)/100</f>
        <v>117.29509127999999</v>
      </c>
      <c r="I28" s="22"/>
      <c r="J28" s="275"/>
      <c r="K28" s="55"/>
      <c r="L28" s="35">
        <f>L29*L24/100</f>
        <v>499.92959183673474</v>
      </c>
      <c r="M28" s="4"/>
      <c r="N28" s="129" t="s">
        <v>114</v>
      </c>
      <c r="O28" s="49"/>
      <c r="P28" s="251" t="s">
        <v>75</v>
      </c>
      <c r="Q28" s="252"/>
      <c r="R28" s="252"/>
      <c r="S28" s="253"/>
      <c r="Z28" s="200"/>
      <c r="AA28" s="201"/>
      <c r="AB28" s="201"/>
      <c r="AC28" s="201"/>
      <c r="AD28" s="200"/>
    </row>
    <row r="29" spans="2:30" ht="15.75" thickBot="1" x14ac:dyDescent="0.3">
      <c r="B29" s="23" t="s">
        <v>101</v>
      </c>
      <c r="C29" s="75"/>
      <c r="D29" s="214">
        <f>D21*0.015</f>
        <v>281.78280000000001</v>
      </c>
      <c r="E29" s="75"/>
      <c r="F29" s="275"/>
      <c r="G29" s="79"/>
      <c r="H29" s="36">
        <f>H21*0.015</f>
        <v>430.28279999999995</v>
      </c>
      <c r="I29" s="75"/>
      <c r="J29" s="275"/>
      <c r="K29" s="79"/>
      <c r="L29" s="36">
        <f>(L60-L19-L54)/L17</f>
        <v>7691.2244897959199</v>
      </c>
      <c r="M29" s="75"/>
      <c r="N29" s="132" t="s">
        <v>115</v>
      </c>
      <c r="O29" s="80"/>
      <c r="P29" s="254"/>
      <c r="Q29" s="255"/>
      <c r="R29" s="255"/>
      <c r="S29" s="256"/>
      <c r="Z29" s="200"/>
      <c r="AA29" s="291" t="s">
        <v>56</v>
      </c>
      <c r="AB29" s="291"/>
      <c r="AC29" s="205">
        <v>1537</v>
      </c>
      <c r="AD29" s="200"/>
    </row>
    <row r="30" spans="2:30" ht="15.75" thickBot="1" x14ac:dyDescent="0.3">
      <c r="B30" s="24" t="s">
        <v>25</v>
      </c>
      <c r="C30" s="75"/>
      <c r="D30" s="225">
        <v>27.26</v>
      </c>
      <c r="E30" s="75"/>
      <c r="F30" s="275"/>
      <c r="G30" s="79"/>
      <c r="H30" s="45">
        <v>27.26</v>
      </c>
      <c r="I30" s="75"/>
      <c r="J30" s="275"/>
      <c r="K30" s="79"/>
      <c r="L30" s="143">
        <f>D48-L48</f>
        <v>8.6666666666666679</v>
      </c>
      <c r="M30" s="75"/>
      <c r="N30" s="130" t="s">
        <v>116</v>
      </c>
      <c r="O30" s="80"/>
      <c r="P30" s="257"/>
      <c r="Q30" s="258"/>
      <c r="R30" s="258"/>
      <c r="S30" s="259"/>
      <c r="Z30" s="200"/>
      <c r="AA30" s="291" t="s">
        <v>57</v>
      </c>
      <c r="AB30" s="291"/>
      <c r="AC30" s="205">
        <v>1139</v>
      </c>
      <c r="AD30" s="200"/>
    </row>
    <row r="31" spans="2:30" ht="15" thickBot="1" x14ac:dyDescent="0.25">
      <c r="B31" s="111"/>
      <c r="C31" s="95"/>
      <c r="D31" s="112"/>
      <c r="E31" s="75"/>
      <c r="F31" s="275"/>
      <c r="G31" s="79"/>
      <c r="H31" s="112"/>
      <c r="I31" s="75"/>
      <c r="J31" s="275"/>
      <c r="K31" s="79"/>
      <c r="L31" s="112"/>
      <c r="M31" s="95"/>
      <c r="N31" s="120"/>
      <c r="O31" s="80"/>
    </row>
    <row r="32" spans="2:30" x14ac:dyDescent="0.2">
      <c r="B32" s="125"/>
      <c r="C32" s="90"/>
      <c r="D32" s="126"/>
      <c r="E32" s="75"/>
      <c r="F32" s="275"/>
      <c r="G32" s="79"/>
      <c r="H32" s="126"/>
      <c r="I32" s="75"/>
      <c r="J32" s="275"/>
      <c r="K32" s="79"/>
      <c r="L32" s="126"/>
      <c r="M32" s="90"/>
      <c r="N32" s="50"/>
      <c r="O32" s="80"/>
    </row>
    <row r="33" spans="2:19" ht="15" x14ac:dyDescent="0.2">
      <c r="B33" s="135" t="s">
        <v>119</v>
      </c>
      <c r="C33" s="90"/>
      <c r="D33" s="126"/>
      <c r="E33" s="75"/>
      <c r="F33" s="275"/>
      <c r="G33" s="79"/>
      <c r="H33" s="126"/>
      <c r="I33" s="75"/>
      <c r="J33" s="275"/>
      <c r="K33" s="79"/>
      <c r="L33" s="126"/>
      <c r="M33" s="90"/>
      <c r="N33" s="50"/>
      <c r="O33" s="80"/>
    </row>
    <row r="34" spans="2:19" ht="15" x14ac:dyDescent="0.25">
      <c r="B34" s="231" t="s">
        <v>120</v>
      </c>
      <c r="C34" s="90"/>
      <c r="D34" s="243">
        <v>10000</v>
      </c>
      <c r="E34" s="75"/>
      <c r="F34" s="275"/>
      <c r="G34" s="79"/>
      <c r="H34" s="126"/>
      <c r="I34" s="75"/>
      <c r="J34" s="275"/>
      <c r="K34" s="79"/>
      <c r="L34" s="126"/>
      <c r="M34" s="90"/>
      <c r="N34" s="50"/>
      <c r="O34" s="80"/>
    </row>
    <row r="35" spans="2:19" x14ac:dyDescent="0.2">
      <c r="B35" s="232" t="s">
        <v>121</v>
      </c>
      <c r="C35" s="90"/>
      <c r="D35" s="234">
        <v>0.99</v>
      </c>
      <c r="E35" s="75"/>
      <c r="F35" s="275"/>
      <c r="G35" s="79"/>
      <c r="H35" s="126"/>
      <c r="I35" s="75"/>
      <c r="J35" s="275"/>
      <c r="K35" s="79"/>
      <c r="L35" s="126"/>
      <c r="M35" s="90"/>
      <c r="N35" s="50"/>
      <c r="O35" s="80"/>
    </row>
    <row r="36" spans="2:19" ht="15" x14ac:dyDescent="0.25">
      <c r="B36" s="233" t="s">
        <v>81</v>
      </c>
      <c r="C36" s="90"/>
      <c r="D36" s="237">
        <f>D35*D34</f>
        <v>9900</v>
      </c>
      <c r="E36" s="75"/>
      <c r="F36" s="275"/>
      <c r="G36" s="79"/>
      <c r="H36" s="126"/>
      <c r="I36" s="75"/>
      <c r="J36" s="275"/>
      <c r="K36" s="79"/>
      <c r="L36" s="126"/>
      <c r="M36" s="90"/>
      <c r="N36" s="50"/>
      <c r="O36" s="80"/>
    </row>
    <row r="37" spans="2:19" x14ac:dyDescent="0.2">
      <c r="B37" s="125"/>
      <c r="C37" s="90"/>
      <c r="D37" s="126"/>
      <c r="E37" s="75"/>
      <c r="F37" s="275"/>
      <c r="G37" s="79"/>
      <c r="H37" s="126"/>
      <c r="I37" s="75"/>
      <c r="J37" s="275"/>
      <c r="K37" s="79"/>
      <c r="L37" s="126"/>
      <c r="M37" s="90"/>
      <c r="N37" s="50"/>
      <c r="O37" s="80"/>
    </row>
    <row r="38" spans="2:19" ht="15" x14ac:dyDescent="0.25">
      <c r="B38" s="238" t="s">
        <v>122</v>
      </c>
      <c r="C38" s="90"/>
      <c r="D38" s="235">
        <f>D40+(D41*D34*D42+D43*D34*D44)/100</f>
        <v>2239.8000000000002</v>
      </c>
      <c r="E38" s="75"/>
      <c r="F38" s="275"/>
      <c r="G38" s="79"/>
      <c r="H38" s="126"/>
      <c r="I38" s="75"/>
      <c r="J38" s="275"/>
      <c r="K38" s="79"/>
      <c r="L38" s="126"/>
      <c r="M38" s="90"/>
      <c r="N38" s="50"/>
      <c r="O38" s="80"/>
    </row>
    <row r="39" spans="2:19" x14ac:dyDescent="0.2">
      <c r="B39" s="232" t="s">
        <v>25</v>
      </c>
      <c r="C39" s="90"/>
      <c r="D39" s="241">
        <f>D38*100/D34</f>
        <v>22.398000000000003</v>
      </c>
      <c r="E39" s="75"/>
      <c r="F39" s="275"/>
      <c r="G39" s="79"/>
      <c r="H39" s="126"/>
      <c r="I39" s="75"/>
      <c r="J39" s="275"/>
      <c r="K39" s="79"/>
      <c r="L39" s="126"/>
      <c r="M39" s="90"/>
      <c r="N39" s="50"/>
      <c r="O39" s="80"/>
    </row>
    <row r="40" spans="2:19" x14ac:dyDescent="0.2">
      <c r="B40" s="242" t="s">
        <v>125</v>
      </c>
      <c r="C40" s="90"/>
      <c r="D40" s="240">
        <v>60</v>
      </c>
      <c r="E40" s="75"/>
      <c r="F40" s="275"/>
      <c r="G40" s="79"/>
      <c r="H40" s="126"/>
      <c r="I40" s="75"/>
      <c r="J40" s="275"/>
      <c r="K40" s="79"/>
      <c r="L40" s="126"/>
      <c r="M40" s="90"/>
      <c r="N40" s="50"/>
      <c r="O40" s="80"/>
    </row>
    <row r="41" spans="2:19" x14ac:dyDescent="0.2">
      <c r="B41" s="242" t="s">
        <v>126</v>
      </c>
      <c r="C41" s="90"/>
      <c r="D41" s="234">
        <v>0.1</v>
      </c>
      <c r="E41" s="75"/>
      <c r="F41" s="275"/>
      <c r="G41" s="79"/>
      <c r="H41" s="126"/>
      <c r="I41" s="75"/>
      <c r="J41" s="275"/>
      <c r="K41" s="79"/>
      <c r="L41" s="126"/>
      <c r="M41" s="90"/>
      <c r="N41" s="50"/>
      <c r="O41" s="80"/>
    </row>
    <row r="42" spans="2:19" x14ac:dyDescent="0.2">
      <c r="B42" s="242" t="s">
        <v>127</v>
      </c>
      <c r="C42" s="90"/>
      <c r="D42" s="236">
        <v>25.2</v>
      </c>
      <c r="E42" s="75"/>
      <c r="F42" s="275"/>
      <c r="G42" s="79"/>
      <c r="H42" s="126"/>
      <c r="I42" s="75"/>
      <c r="J42" s="275"/>
      <c r="K42" s="79"/>
      <c r="L42" s="126"/>
      <c r="M42" s="90"/>
      <c r="N42" s="50"/>
      <c r="O42" s="80"/>
    </row>
    <row r="43" spans="2:19" x14ac:dyDescent="0.2">
      <c r="B43" s="242" t="s">
        <v>128</v>
      </c>
      <c r="C43" s="90"/>
      <c r="D43" s="239">
        <f>1-D41</f>
        <v>0.9</v>
      </c>
      <c r="E43" s="75"/>
      <c r="F43" s="275"/>
      <c r="G43" s="79"/>
      <c r="H43" s="126"/>
      <c r="I43" s="75"/>
      <c r="J43" s="275"/>
      <c r="K43" s="79"/>
      <c r="L43" s="126"/>
      <c r="M43" s="90"/>
      <c r="N43" s="50"/>
      <c r="O43" s="80"/>
    </row>
    <row r="44" spans="2:19" x14ac:dyDescent="0.2">
      <c r="B44" s="242" t="s">
        <v>129</v>
      </c>
      <c r="C44" s="90"/>
      <c r="D44" s="236">
        <v>21.42</v>
      </c>
      <c r="E44" s="75"/>
      <c r="F44" s="275"/>
      <c r="G44" s="79"/>
      <c r="H44" s="126"/>
      <c r="I44" s="75"/>
      <c r="J44" s="275"/>
      <c r="K44" s="79"/>
      <c r="L44" s="126"/>
      <c r="M44" s="90"/>
      <c r="N44" s="50"/>
      <c r="O44" s="80"/>
    </row>
    <row r="45" spans="2:19" ht="15" thickBot="1" x14ac:dyDescent="0.25">
      <c r="B45" s="111"/>
      <c r="C45" s="95"/>
      <c r="D45" s="112"/>
      <c r="E45" s="75"/>
      <c r="F45" s="275"/>
      <c r="G45" s="79"/>
      <c r="H45" s="112"/>
      <c r="I45" s="75"/>
      <c r="J45" s="275"/>
      <c r="K45" s="79"/>
      <c r="L45" s="126"/>
      <c r="M45" s="90"/>
      <c r="N45" s="50"/>
      <c r="O45" s="80"/>
    </row>
    <row r="46" spans="2:19" x14ac:dyDescent="0.2">
      <c r="B46" s="25"/>
      <c r="C46" s="75"/>
      <c r="D46" s="26"/>
      <c r="E46" s="75"/>
      <c r="F46" s="275"/>
      <c r="G46" s="79"/>
      <c r="H46" s="26"/>
      <c r="I46" s="75"/>
      <c r="J46" s="275"/>
      <c r="K46" s="79"/>
      <c r="L46" s="26"/>
      <c r="M46" s="75"/>
      <c r="N46" s="50"/>
      <c r="O46" s="80"/>
    </row>
    <row r="47" spans="2:19" ht="19.5" customHeight="1" thickBot="1" x14ac:dyDescent="0.25">
      <c r="B47" s="135" t="s">
        <v>62</v>
      </c>
      <c r="C47" s="75"/>
      <c r="D47" s="26"/>
      <c r="E47" s="75"/>
      <c r="F47" s="275"/>
      <c r="G47" s="79"/>
      <c r="H47" s="26"/>
      <c r="I47" s="75"/>
      <c r="J47" s="275"/>
      <c r="K47" s="79"/>
      <c r="L47" s="26"/>
      <c r="M47" s="75"/>
      <c r="N47" s="50"/>
      <c r="O47" s="80"/>
    </row>
    <row r="48" spans="2:19" ht="15" x14ac:dyDescent="0.25">
      <c r="B48" s="17" t="s">
        <v>50</v>
      </c>
      <c r="C48" s="75"/>
      <c r="D48" s="147">
        <v>13</v>
      </c>
      <c r="E48" s="75"/>
      <c r="F48" s="275"/>
      <c r="G48" s="79"/>
      <c r="H48" s="115">
        <f>D48</f>
        <v>13</v>
      </c>
      <c r="I48" s="75"/>
      <c r="J48" s="275"/>
      <c r="K48" s="79"/>
      <c r="L48" s="124">
        <f>D48/3</f>
        <v>4.333333333333333</v>
      </c>
      <c r="M48" s="75"/>
      <c r="N48" s="17" t="s">
        <v>50</v>
      </c>
      <c r="O48" s="80"/>
      <c r="P48" s="251" t="s">
        <v>74</v>
      </c>
      <c r="Q48" s="252"/>
      <c r="R48" s="252"/>
      <c r="S48" s="253"/>
    </row>
    <row r="49" spans="2:22" x14ac:dyDescent="0.2">
      <c r="B49" s="118" t="s">
        <v>53</v>
      </c>
      <c r="C49" s="75"/>
      <c r="D49" s="148">
        <v>0.5</v>
      </c>
      <c r="E49" s="75"/>
      <c r="F49" s="275"/>
      <c r="G49" s="79"/>
      <c r="H49" s="116">
        <f>D49</f>
        <v>0.5</v>
      </c>
      <c r="I49" s="75"/>
      <c r="J49" s="275"/>
      <c r="K49" s="79"/>
      <c r="L49" s="116">
        <f>D49</f>
        <v>0.5</v>
      </c>
      <c r="M49" s="75"/>
      <c r="N49" s="118" t="s">
        <v>53</v>
      </c>
      <c r="O49" s="80"/>
      <c r="P49" s="254"/>
      <c r="Q49" s="255"/>
      <c r="R49" s="255"/>
      <c r="S49" s="256"/>
    </row>
    <row r="50" spans="2:22" ht="15" thickBot="1" x14ac:dyDescent="0.25">
      <c r="B50" s="119" t="s">
        <v>54</v>
      </c>
      <c r="C50" s="75"/>
      <c r="D50" s="117">
        <f>1-D49</f>
        <v>0.5</v>
      </c>
      <c r="E50" s="75"/>
      <c r="F50" s="275"/>
      <c r="G50" s="79"/>
      <c r="H50" s="117">
        <f>D50</f>
        <v>0.5</v>
      </c>
      <c r="I50" s="75"/>
      <c r="J50" s="275"/>
      <c r="K50" s="79"/>
      <c r="L50" s="117">
        <f>D50</f>
        <v>0.5</v>
      </c>
      <c r="M50" s="75"/>
      <c r="N50" s="119" t="s">
        <v>54</v>
      </c>
      <c r="O50" s="80"/>
      <c r="P50" s="257"/>
      <c r="Q50" s="258"/>
      <c r="R50" s="258"/>
      <c r="S50" s="259"/>
    </row>
    <row r="51" spans="2:22" ht="15" thickBot="1" x14ac:dyDescent="0.25">
      <c r="B51" s="25"/>
      <c r="C51" s="75"/>
      <c r="D51" s="26"/>
      <c r="E51" s="75"/>
      <c r="F51" s="275"/>
      <c r="G51" s="79"/>
      <c r="H51" s="26"/>
      <c r="I51" s="75"/>
      <c r="J51" s="275"/>
      <c r="K51" s="79"/>
      <c r="L51" s="26"/>
      <c r="M51" s="75"/>
      <c r="N51" s="25"/>
      <c r="O51" s="80"/>
    </row>
    <row r="52" spans="2:22" x14ac:dyDescent="0.2">
      <c r="B52" s="83" t="s">
        <v>51</v>
      </c>
      <c r="C52" s="75"/>
      <c r="D52" s="146">
        <v>0.65</v>
      </c>
      <c r="E52" s="75"/>
      <c r="F52" s="275"/>
      <c r="G52" s="79"/>
      <c r="H52" s="52">
        <f>D52</f>
        <v>0.65</v>
      </c>
      <c r="I52" s="75"/>
      <c r="J52" s="275"/>
      <c r="K52" s="79"/>
      <c r="L52" s="52">
        <f>H52</f>
        <v>0.65</v>
      </c>
      <c r="M52" s="75"/>
      <c r="N52" s="83" t="s">
        <v>51</v>
      </c>
      <c r="O52" s="80"/>
      <c r="P52" s="251" t="s">
        <v>73</v>
      </c>
      <c r="Q52" s="252"/>
      <c r="R52" s="252"/>
      <c r="S52" s="253"/>
    </row>
    <row r="53" spans="2:22" x14ac:dyDescent="0.2">
      <c r="B53" s="84" t="s">
        <v>55</v>
      </c>
      <c r="C53" s="75"/>
      <c r="D53" s="121">
        <f>IF(D48=0,0,(D48*D49*AC29+D48*D50*AC30)/D48)</f>
        <v>1338</v>
      </c>
      <c r="E53" s="75"/>
      <c r="F53" s="275"/>
      <c r="G53" s="79"/>
      <c r="H53" s="32">
        <f>D53</f>
        <v>1338</v>
      </c>
      <c r="I53" s="75"/>
      <c r="J53" s="275"/>
      <c r="K53" s="79"/>
      <c r="L53" s="121">
        <f>H53</f>
        <v>1338</v>
      </c>
      <c r="M53" s="75"/>
      <c r="N53" s="84" t="s">
        <v>55</v>
      </c>
      <c r="O53" s="80"/>
      <c r="P53" s="254"/>
      <c r="Q53" s="255"/>
      <c r="R53" s="255"/>
      <c r="S53" s="256"/>
    </row>
    <row r="54" spans="2:22" ht="15.75" thickBot="1" x14ac:dyDescent="0.3">
      <c r="B54" s="33" t="s">
        <v>81</v>
      </c>
      <c r="C54" s="75"/>
      <c r="D54" s="34">
        <f>IF(D48=0,0,D48*D53*D52)</f>
        <v>11306.1</v>
      </c>
      <c r="E54" s="75"/>
      <c r="F54" s="275"/>
      <c r="G54" s="79"/>
      <c r="H54" s="34">
        <f>D54</f>
        <v>11306.1</v>
      </c>
      <c r="I54" s="75"/>
      <c r="J54" s="275"/>
      <c r="K54" s="79"/>
      <c r="L54" s="34">
        <f>L48*L53*L52</f>
        <v>3768.7000000000003</v>
      </c>
      <c r="M54" s="75"/>
      <c r="N54" s="33" t="s">
        <v>81</v>
      </c>
      <c r="O54" s="80"/>
      <c r="P54" s="257"/>
      <c r="Q54" s="258"/>
      <c r="R54" s="258"/>
      <c r="S54" s="259"/>
    </row>
    <row r="55" spans="2:22" ht="15" thickBot="1" x14ac:dyDescent="0.25">
      <c r="B55" s="25"/>
      <c r="C55" s="75"/>
      <c r="D55" s="26"/>
      <c r="E55" s="75"/>
      <c r="F55" s="275"/>
      <c r="G55" s="79"/>
      <c r="H55" s="26"/>
      <c r="I55" s="75"/>
      <c r="J55" s="275"/>
      <c r="K55" s="79"/>
      <c r="L55" s="26"/>
      <c r="M55" s="75"/>
      <c r="N55" s="25"/>
      <c r="O55" s="80"/>
    </row>
    <row r="56" spans="2:22" ht="15" customHeight="1" x14ac:dyDescent="0.25">
      <c r="B56" s="17" t="s">
        <v>52</v>
      </c>
      <c r="C56" s="3"/>
      <c r="D56" s="35">
        <f>D57*D48</f>
        <v>1157.3900000000001</v>
      </c>
      <c r="E56" s="75"/>
      <c r="F56" s="275"/>
      <c r="G56" s="79"/>
      <c r="H56" s="35">
        <f>H57*H48</f>
        <v>1157.3900000000001</v>
      </c>
      <c r="I56" s="75"/>
      <c r="J56" s="275"/>
      <c r="K56" s="79"/>
      <c r="L56" s="35">
        <f>L57*L48</f>
        <v>385.79666666666662</v>
      </c>
      <c r="M56" s="75"/>
      <c r="N56" s="17" t="s">
        <v>52</v>
      </c>
      <c r="O56" s="80"/>
      <c r="P56" s="283" t="s">
        <v>106</v>
      </c>
      <c r="Q56" s="284"/>
      <c r="R56" s="284"/>
      <c r="S56" s="284"/>
      <c r="T56" s="284"/>
      <c r="U56" s="284"/>
      <c r="V56" s="285"/>
    </row>
    <row r="57" spans="2:22" ht="15" thickBot="1" x14ac:dyDescent="0.25">
      <c r="B57" s="113" t="s">
        <v>59</v>
      </c>
      <c r="C57" s="75"/>
      <c r="D57" s="149">
        <f>D49*98.68+D50*79.38</f>
        <v>89.03</v>
      </c>
      <c r="E57" s="75"/>
      <c r="F57" s="275"/>
      <c r="G57" s="79"/>
      <c r="H57" s="114">
        <f>D57</f>
        <v>89.03</v>
      </c>
      <c r="I57" s="75"/>
      <c r="J57" s="275"/>
      <c r="K57" s="79"/>
      <c r="L57" s="114">
        <f>H57</f>
        <v>89.03</v>
      </c>
      <c r="M57" s="75"/>
      <c r="N57" s="113" t="s">
        <v>59</v>
      </c>
      <c r="O57" s="80"/>
      <c r="P57" s="286"/>
      <c r="Q57" s="287"/>
      <c r="R57" s="287"/>
      <c r="S57" s="287"/>
      <c r="T57" s="287"/>
      <c r="U57" s="287"/>
      <c r="V57" s="288"/>
    </row>
    <row r="58" spans="2:22" ht="15" thickBot="1" x14ac:dyDescent="0.25">
      <c r="B58" s="101"/>
      <c r="C58" s="95"/>
      <c r="D58" s="128"/>
      <c r="E58" s="75"/>
      <c r="F58" s="275"/>
      <c r="G58" s="79"/>
      <c r="H58" s="127"/>
      <c r="I58" s="75"/>
      <c r="J58" s="275"/>
      <c r="K58" s="79"/>
      <c r="L58" s="127"/>
      <c r="M58" s="95"/>
      <c r="N58" s="101"/>
      <c r="O58" s="80"/>
    </row>
    <row r="59" spans="2:22" ht="15" thickBot="1" x14ac:dyDescent="0.25">
      <c r="B59" s="125"/>
      <c r="C59" s="90"/>
      <c r="D59" s="126"/>
      <c r="E59" s="75"/>
      <c r="F59" s="275"/>
      <c r="G59" s="79"/>
      <c r="H59" s="126"/>
      <c r="I59" s="75"/>
      <c r="J59" s="275"/>
      <c r="K59" s="79"/>
      <c r="L59" s="26"/>
      <c r="M59" s="75"/>
      <c r="N59" s="50"/>
      <c r="O59" s="80"/>
    </row>
    <row r="60" spans="2:22" ht="15.75" thickBot="1" x14ac:dyDescent="0.3">
      <c r="B60" s="131" t="s">
        <v>58</v>
      </c>
      <c r="C60" s="90"/>
      <c r="D60" s="228">
        <f>D54+D21+D36</f>
        <v>39991.620000000003</v>
      </c>
      <c r="E60" s="75"/>
      <c r="F60" s="275"/>
      <c r="G60" s="79"/>
      <c r="H60" s="42">
        <f>H54+H21</f>
        <v>39991.619999999995</v>
      </c>
      <c r="I60" s="75"/>
      <c r="J60" s="275"/>
      <c r="K60" s="79"/>
      <c r="L60" s="42">
        <f>D60</f>
        <v>39991.620000000003</v>
      </c>
      <c r="M60" s="75"/>
      <c r="N60" s="131" t="s">
        <v>58</v>
      </c>
      <c r="O60" s="80"/>
    </row>
    <row r="61" spans="2:22" ht="15" thickBot="1" x14ac:dyDescent="0.25">
      <c r="B61" s="25"/>
      <c r="C61" s="75"/>
      <c r="D61" s="26"/>
      <c r="E61" s="75"/>
      <c r="F61" s="275"/>
      <c r="G61" s="79"/>
      <c r="H61" s="26"/>
      <c r="I61" s="75"/>
      <c r="J61" s="275"/>
      <c r="K61" s="79"/>
      <c r="L61" s="26"/>
      <c r="M61" s="75"/>
      <c r="N61" s="50"/>
      <c r="O61" s="80"/>
    </row>
    <row r="62" spans="2:22" ht="15" x14ac:dyDescent="0.25">
      <c r="B62" s="281" t="s">
        <v>5</v>
      </c>
      <c r="C62" s="75"/>
      <c r="D62" s="226">
        <f>D56+D28+D23+D38</f>
        <v>4644.0039912800003</v>
      </c>
      <c r="E62" s="4"/>
      <c r="F62" s="275"/>
      <c r="G62" s="53"/>
      <c r="H62" s="70">
        <f>H28+H23+H56</f>
        <v>3061.2770195311214</v>
      </c>
      <c r="I62" s="4"/>
      <c r="J62" s="275"/>
      <c r="K62" s="53"/>
      <c r="L62" s="62">
        <f>L23+L28+L56</f>
        <v>2788.3372789115647</v>
      </c>
      <c r="M62" s="4"/>
      <c r="N62" s="272" t="s">
        <v>5</v>
      </c>
      <c r="O62" s="47"/>
    </row>
    <row r="63" spans="2:22" ht="15.75" thickBot="1" x14ac:dyDescent="0.3">
      <c r="B63" s="282"/>
      <c r="C63" s="75"/>
      <c r="D63" s="227">
        <f>D62*100/D60</f>
        <v>11.61244278496345</v>
      </c>
      <c r="E63" s="4"/>
      <c r="F63" s="276"/>
      <c r="G63" s="53"/>
      <c r="H63" s="71">
        <f>H62*100/H60</f>
        <v>7.6547962286377045</v>
      </c>
      <c r="I63" s="4"/>
      <c r="J63" s="276"/>
      <c r="K63" s="53"/>
      <c r="L63" s="63">
        <f>L62*100/L60</f>
        <v>6.9723038949449014</v>
      </c>
      <c r="M63" s="4"/>
      <c r="N63" s="273"/>
      <c r="O63" s="47"/>
    </row>
    <row r="64" spans="2:22" ht="15.75" thickBot="1" x14ac:dyDescent="0.3">
      <c r="B64" s="66"/>
      <c r="C64" s="87"/>
      <c r="D64" s="67"/>
      <c r="E64" s="69"/>
      <c r="F64" s="88"/>
      <c r="G64" s="69"/>
      <c r="H64" s="67"/>
      <c r="I64" s="69"/>
      <c r="J64" s="88"/>
      <c r="K64" s="69"/>
      <c r="L64" s="67"/>
      <c r="M64" s="68"/>
      <c r="N64" s="66"/>
      <c r="O64" s="47"/>
    </row>
    <row r="65" spans="2:26" ht="15" thickBot="1" x14ac:dyDescent="0.25">
      <c r="B65" s="75"/>
      <c r="C65" s="75"/>
      <c r="D65" s="27"/>
      <c r="E65" s="75"/>
      <c r="F65" s="89"/>
      <c r="G65" s="90"/>
      <c r="H65" s="27"/>
      <c r="I65" s="75"/>
      <c r="J65" s="89"/>
      <c r="K65" s="90"/>
      <c r="L65" s="27"/>
      <c r="M65" s="75"/>
      <c r="N65" s="39"/>
      <c r="O65" s="80"/>
    </row>
    <row r="66" spans="2:26" x14ac:dyDescent="0.2">
      <c r="B66" s="91" t="s">
        <v>26</v>
      </c>
      <c r="C66" s="75"/>
      <c r="D66" s="150">
        <v>100</v>
      </c>
      <c r="E66" s="75"/>
      <c r="F66" s="92"/>
      <c r="G66" s="90"/>
      <c r="H66" s="150">
        <f>Daten!J6</f>
        <v>183.5932</v>
      </c>
      <c r="I66" s="75"/>
      <c r="J66" s="92"/>
      <c r="K66" s="90"/>
      <c r="L66" s="296">
        <f>IF(L12&lt;15,600,600+(L12-15)*15)</f>
        <v>716.25</v>
      </c>
      <c r="M66" s="75"/>
      <c r="N66" s="293" t="s">
        <v>36</v>
      </c>
      <c r="O66" s="80"/>
      <c r="P66" s="250" t="s">
        <v>82</v>
      </c>
      <c r="Q66" s="250"/>
      <c r="R66" s="250"/>
      <c r="S66" s="250"/>
      <c r="T66" s="250"/>
      <c r="U66" s="250"/>
      <c r="V66" s="250"/>
    </row>
    <row r="67" spans="2:26" x14ac:dyDescent="0.2">
      <c r="B67" s="84" t="s">
        <v>27</v>
      </c>
      <c r="C67" s="75"/>
      <c r="D67" s="224">
        <v>100</v>
      </c>
      <c r="E67" s="75"/>
      <c r="F67" s="93"/>
      <c r="G67" s="90"/>
      <c r="H67" s="224">
        <f>Daten!J4</f>
        <v>300.04805775</v>
      </c>
      <c r="I67" s="75"/>
      <c r="J67" s="93"/>
      <c r="K67" s="90"/>
      <c r="L67" s="297"/>
      <c r="M67" s="75"/>
      <c r="N67" s="294"/>
      <c r="O67" s="80"/>
      <c r="P67" s="250" t="s">
        <v>83</v>
      </c>
      <c r="Q67" s="250"/>
      <c r="R67" s="250"/>
      <c r="S67" s="250"/>
      <c r="T67" s="250"/>
      <c r="U67" s="250"/>
      <c r="V67" s="250"/>
    </row>
    <row r="68" spans="2:26" ht="15" thickBot="1" x14ac:dyDescent="0.25">
      <c r="B68" s="81" t="s">
        <v>28</v>
      </c>
      <c r="C68" s="75"/>
      <c r="D68" s="218">
        <v>0</v>
      </c>
      <c r="E68" s="75"/>
      <c r="F68" s="93"/>
      <c r="G68" s="90"/>
      <c r="H68" s="218">
        <v>185</v>
      </c>
      <c r="I68" s="75"/>
      <c r="J68" s="93"/>
      <c r="K68" s="90"/>
      <c r="L68" s="298"/>
      <c r="M68" s="75"/>
      <c r="N68" s="295"/>
      <c r="O68" s="80"/>
      <c r="P68" s="250" t="s">
        <v>84</v>
      </c>
      <c r="Q68" s="250"/>
      <c r="R68" s="250"/>
      <c r="S68" s="250"/>
      <c r="T68" s="250"/>
      <c r="U68" s="250"/>
      <c r="V68" s="250"/>
    </row>
    <row r="69" spans="2:26" ht="15" thickBot="1" x14ac:dyDescent="0.25">
      <c r="F69" s="93"/>
      <c r="G69" s="94"/>
      <c r="J69" s="93"/>
      <c r="K69" s="94"/>
      <c r="N69" s="86"/>
      <c r="O69" s="86"/>
    </row>
    <row r="70" spans="2:26" ht="15" x14ac:dyDescent="0.25">
      <c r="B70" s="17" t="s">
        <v>103</v>
      </c>
      <c r="D70" s="35">
        <f>D71*D73</f>
        <v>270</v>
      </c>
      <c r="F70" s="93"/>
      <c r="G70" s="94"/>
      <c r="H70" s="35">
        <f>H71*H73</f>
        <v>412.29044498102792</v>
      </c>
      <c r="J70" s="93"/>
      <c r="K70" s="94"/>
      <c r="N70" s="86"/>
      <c r="O70" s="86"/>
    </row>
    <row r="71" spans="2:26" x14ac:dyDescent="0.2">
      <c r="B71" s="305" t="s">
        <v>104</v>
      </c>
      <c r="D71" s="220">
        <f>D15*6</f>
        <v>108</v>
      </c>
      <c r="F71" s="93"/>
      <c r="G71" s="94"/>
      <c r="H71" s="220">
        <f>H15*6</f>
        <v>164.91617799241118</v>
      </c>
      <c r="J71" s="93"/>
      <c r="K71" s="94"/>
      <c r="N71" s="86"/>
      <c r="O71" s="86"/>
    </row>
    <row r="72" spans="2:26" x14ac:dyDescent="0.2">
      <c r="B72" s="306"/>
      <c r="D72" s="222">
        <f>((D71/365)/100*60)*100</f>
        <v>17.753424657534246</v>
      </c>
      <c r="F72" s="93"/>
      <c r="G72" s="94"/>
      <c r="H72" s="222">
        <f>((H71/365)/100*60)*100</f>
        <v>27.109508711081286</v>
      </c>
      <c r="J72" s="93"/>
      <c r="K72" s="94"/>
      <c r="N72" s="86"/>
      <c r="O72" s="86"/>
    </row>
    <row r="73" spans="2:26" ht="15" thickBot="1" x14ac:dyDescent="0.25">
      <c r="B73" s="219" t="s">
        <v>105</v>
      </c>
      <c r="D73" s="221">
        <v>2.5</v>
      </c>
      <c r="F73" s="93"/>
      <c r="G73" s="94"/>
      <c r="H73" s="221">
        <v>2.5</v>
      </c>
      <c r="J73" s="93"/>
      <c r="K73" s="94"/>
      <c r="N73" s="86"/>
      <c r="O73" s="86"/>
    </row>
    <row r="74" spans="2:26" ht="15" thickBot="1" x14ac:dyDescent="0.25">
      <c r="F74" s="93"/>
      <c r="G74" s="94"/>
      <c r="J74" s="93"/>
      <c r="K74" s="94"/>
      <c r="N74" s="86"/>
      <c r="O74" s="86"/>
    </row>
    <row r="75" spans="2:26" ht="15.75" thickBot="1" x14ac:dyDescent="0.3">
      <c r="B75" s="103" t="s">
        <v>4</v>
      </c>
      <c r="C75" s="75"/>
      <c r="D75" s="229">
        <f>D68+D66+D67+D70</f>
        <v>470</v>
      </c>
      <c r="E75" s="4"/>
      <c r="F75" s="182"/>
      <c r="G75" s="65"/>
      <c r="H75" s="104">
        <f>H67+H66+H68+H70</f>
        <v>1080.9317027310281</v>
      </c>
      <c r="I75" s="4"/>
      <c r="J75" s="182"/>
      <c r="K75" s="65"/>
      <c r="L75" s="105">
        <f>L67+L66+L68</f>
        <v>716.25</v>
      </c>
      <c r="M75" s="4"/>
      <c r="N75" s="106" t="s">
        <v>4</v>
      </c>
      <c r="O75" s="47"/>
    </row>
    <row r="76" spans="2:26" ht="15" thickBot="1" x14ac:dyDescent="0.25">
      <c r="B76" s="95"/>
      <c r="C76" s="95"/>
      <c r="D76" s="28"/>
      <c r="E76" s="95"/>
      <c r="F76" s="95"/>
      <c r="G76" s="95"/>
      <c r="H76" s="28"/>
      <c r="I76" s="95"/>
      <c r="J76" s="95"/>
      <c r="K76" s="95"/>
      <c r="L76" s="28"/>
      <c r="M76" s="95"/>
      <c r="N76" s="46"/>
      <c r="O76" s="80"/>
      <c r="P76" s="96"/>
    </row>
    <row r="77" spans="2:26" ht="15" thickBot="1" x14ac:dyDescent="0.25">
      <c r="B77" s="75"/>
      <c r="C77" s="75"/>
      <c r="D77" s="27"/>
      <c r="E77" s="75"/>
      <c r="F77" s="75"/>
      <c r="G77" s="75"/>
      <c r="H77" s="27"/>
      <c r="I77" s="75"/>
      <c r="J77" s="75"/>
      <c r="K77" s="75"/>
      <c r="L77" s="27" t="s">
        <v>6</v>
      </c>
      <c r="M77" s="75"/>
      <c r="N77" s="39"/>
      <c r="O77" s="80"/>
      <c r="P77" s="97"/>
    </row>
    <row r="78" spans="2:26" ht="15" customHeight="1" x14ac:dyDescent="0.25">
      <c r="B78" s="281" t="s">
        <v>29</v>
      </c>
      <c r="C78" s="75"/>
      <c r="D78" s="226">
        <f>D62+D75</f>
        <v>5114.0039912800003</v>
      </c>
      <c r="E78" s="75"/>
      <c r="F78" s="299"/>
      <c r="G78" s="79"/>
      <c r="H78" s="70">
        <f>H62+H75</f>
        <v>4142.2087222621494</v>
      </c>
      <c r="I78" s="75"/>
      <c r="J78" s="299"/>
      <c r="K78" s="79"/>
      <c r="L78" s="62">
        <f>L62+L75</f>
        <v>3504.5872789115647</v>
      </c>
      <c r="M78" s="75"/>
      <c r="N78" s="272" t="s">
        <v>29</v>
      </c>
      <c r="O78" s="80"/>
      <c r="P78" s="244" t="s">
        <v>90</v>
      </c>
      <c r="Q78" s="245"/>
      <c r="R78" s="245"/>
      <c r="S78" s="245"/>
      <c r="T78" s="245"/>
      <c r="U78" s="245"/>
      <c r="V78" s="246"/>
      <c r="W78" s="141"/>
      <c r="X78" s="141"/>
      <c r="Y78" s="141"/>
      <c r="Z78" s="141"/>
    </row>
    <row r="79" spans="2:26" ht="15.75" thickBot="1" x14ac:dyDescent="0.3">
      <c r="B79" s="282"/>
      <c r="C79" s="75"/>
      <c r="D79" s="227">
        <f>D78*100/D60</f>
        <v>12.787688999045299</v>
      </c>
      <c r="E79" s="6"/>
      <c r="F79" s="300"/>
      <c r="G79" s="56"/>
      <c r="H79" s="71">
        <f>H78*100/H60</f>
        <v>10.357691742075341</v>
      </c>
      <c r="I79" s="6"/>
      <c r="J79" s="300"/>
      <c r="K79" s="56"/>
      <c r="L79" s="63">
        <f>L78*100/L60</f>
        <v>8.7633041094898481</v>
      </c>
      <c r="M79" s="6"/>
      <c r="N79" s="273"/>
      <c r="O79" s="51"/>
      <c r="P79" s="247"/>
      <c r="Q79" s="248"/>
      <c r="R79" s="248"/>
      <c r="S79" s="248"/>
      <c r="T79" s="248"/>
      <c r="U79" s="248"/>
      <c r="V79" s="249"/>
      <c r="W79" s="141"/>
      <c r="X79" s="141"/>
      <c r="Y79" s="141"/>
      <c r="Z79" s="141"/>
    </row>
    <row r="80" spans="2:26" x14ac:dyDescent="0.2">
      <c r="B80" s="75"/>
      <c r="C80" s="75"/>
      <c r="D80" s="27"/>
      <c r="E80" s="75"/>
      <c r="F80" s="300"/>
      <c r="G80" s="79"/>
      <c r="H80" s="27"/>
      <c r="I80" s="75"/>
      <c r="J80" s="300"/>
      <c r="K80" s="79"/>
      <c r="L80" s="27"/>
      <c r="M80" s="75"/>
      <c r="N80" s="39"/>
      <c r="O80" s="80"/>
      <c r="P80" s="97"/>
    </row>
    <row r="81" spans="2:17" ht="15.75" thickBot="1" x14ac:dyDescent="0.3">
      <c r="B81" s="75"/>
      <c r="C81" s="75"/>
      <c r="D81" s="27"/>
      <c r="E81" s="75"/>
      <c r="F81" s="300"/>
      <c r="G81" s="79"/>
      <c r="H81" s="27"/>
      <c r="I81" s="75"/>
      <c r="J81" s="300"/>
      <c r="K81" s="79"/>
      <c r="L81" s="172" t="s">
        <v>91</v>
      </c>
      <c r="M81" s="75"/>
      <c r="N81" s="39"/>
      <c r="O81" s="80"/>
      <c r="P81" s="97"/>
    </row>
    <row r="82" spans="2:17" x14ac:dyDescent="0.2">
      <c r="B82" s="75"/>
      <c r="C82" s="75"/>
      <c r="D82" s="27"/>
      <c r="E82" s="75"/>
      <c r="F82" s="300"/>
      <c r="G82" s="79"/>
      <c r="H82" s="27"/>
      <c r="I82" s="75"/>
      <c r="J82" s="300"/>
      <c r="K82" s="79"/>
      <c r="L82" s="173">
        <f>L117</f>
        <v>2402.5406122448981</v>
      </c>
      <c r="N82" s="175" t="s">
        <v>71</v>
      </c>
      <c r="O82" s="80"/>
      <c r="P82" s="97"/>
    </row>
    <row r="83" spans="2:17" ht="15" thickBot="1" x14ac:dyDescent="0.25">
      <c r="B83" s="75"/>
      <c r="C83" s="75"/>
      <c r="D83" s="27"/>
      <c r="E83" s="75"/>
      <c r="F83" s="300"/>
      <c r="G83" s="79"/>
      <c r="H83" s="27"/>
      <c r="I83" s="75"/>
      <c r="J83" s="300"/>
      <c r="K83" s="79"/>
      <c r="L83" s="174">
        <f>L118</f>
        <v>716.25</v>
      </c>
      <c r="N83" s="176" t="s">
        <v>36</v>
      </c>
      <c r="O83" s="80"/>
      <c r="P83" s="97"/>
    </row>
    <row r="84" spans="2:17" ht="15.75" thickBot="1" x14ac:dyDescent="0.3">
      <c r="B84" s="75"/>
      <c r="C84" s="75"/>
      <c r="D84" s="27"/>
      <c r="E84" s="75"/>
      <c r="F84" s="300"/>
      <c r="G84" s="79"/>
      <c r="H84" s="27"/>
      <c r="I84" s="75"/>
      <c r="J84" s="300"/>
      <c r="K84" s="79"/>
      <c r="L84" s="178">
        <f>L82+L83</f>
        <v>3118.7906122448981</v>
      </c>
      <c r="N84" s="178" t="s">
        <v>72</v>
      </c>
      <c r="O84" s="80"/>
      <c r="P84" s="97"/>
    </row>
    <row r="85" spans="2:17" ht="15" thickBot="1" x14ac:dyDescent="0.25">
      <c r="B85" s="75"/>
      <c r="C85" s="75"/>
      <c r="D85" s="27"/>
      <c r="E85" s="75"/>
      <c r="F85" s="300"/>
      <c r="G85" s="79"/>
      <c r="H85" s="27"/>
      <c r="I85" s="75"/>
      <c r="J85" s="300"/>
      <c r="K85" s="79"/>
      <c r="O85" s="80"/>
      <c r="P85" s="97"/>
    </row>
    <row r="86" spans="2:17" ht="15.75" thickBot="1" x14ac:dyDescent="0.3">
      <c r="B86" s="75"/>
      <c r="C86" s="75"/>
      <c r="D86" s="27"/>
      <c r="E86" s="75"/>
      <c r="F86" s="301"/>
      <c r="G86" s="79"/>
      <c r="H86" s="27"/>
      <c r="I86" s="75"/>
      <c r="J86" s="301"/>
      <c r="K86" s="79"/>
      <c r="L86" s="178">
        <f>L122</f>
        <v>385.79666666666662</v>
      </c>
      <c r="N86" s="183" t="s">
        <v>80</v>
      </c>
      <c r="O86" s="80"/>
      <c r="P86" s="97"/>
    </row>
    <row r="87" spans="2:17" x14ac:dyDescent="0.2">
      <c r="B87" s="75"/>
      <c r="C87" s="75"/>
      <c r="D87" s="27"/>
      <c r="E87" s="75"/>
      <c r="F87" s="90"/>
      <c r="G87" s="90"/>
      <c r="H87" s="27"/>
      <c r="I87" s="75"/>
      <c r="J87" s="90"/>
      <c r="K87" s="90"/>
      <c r="L87" s="27"/>
      <c r="M87" s="75"/>
      <c r="N87" s="39"/>
      <c r="O87" s="80"/>
      <c r="P87" s="97"/>
    </row>
    <row r="88" spans="2:17" ht="15" thickBot="1" x14ac:dyDescent="0.25">
      <c r="B88" s="95"/>
      <c r="C88" s="95"/>
      <c r="D88" s="28"/>
      <c r="E88" s="95"/>
      <c r="F88" s="88"/>
      <c r="G88" s="95"/>
      <c r="H88" s="28"/>
      <c r="I88" s="95"/>
      <c r="J88" s="88"/>
      <c r="K88" s="95"/>
      <c r="L88" s="28"/>
      <c r="M88" s="95"/>
      <c r="N88" s="46"/>
      <c r="O88" s="80"/>
      <c r="P88" s="97"/>
    </row>
    <row r="89" spans="2:17" x14ac:dyDescent="0.2">
      <c r="B89" s="75"/>
      <c r="C89" s="75"/>
      <c r="D89" s="27"/>
      <c r="E89" s="27"/>
      <c r="F89" s="27"/>
      <c r="G89" s="75"/>
      <c r="H89" s="27"/>
      <c r="I89" s="75"/>
      <c r="J89" s="89"/>
      <c r="K89" s="90"/>
      <c r="L89" s="27"/>
      <c r="M89" s="75"/>
      <c r="N89" s="39"/>
      <c r="O89" s="80"/>
      <c r="P89" s="97"/>
    </row>
    <row r="90" spans="2:17" x14ac:dyDescent="0.2">
      <c r="B90" s="75"/>
      <c r="C90" s="75"/>
      <c r="D90" s="27"/>
      <c r="E90" s="27"/>
      <c r="F90" s="27"/>
      <c r="G90" s="75"/>
      <c r="H90" s="27"/>
      <c r="I90" s="75"/>
      <c r="J90" s="133"/>
      <c r="K90" s="79"/>
      <c r="L90" s="27"/>
      <c r="M90" s="75"/>
      <c r="N90" s="39"/>
      <c r="O90" s="80"/>
      <c r="P90" s="97"/>
    </row>
    <row r="91" spans="2:17" x14ac:dyDescent="0.2">
      <c r="B91" s="302" t="s">
        <v>49</v>
      </c>
      <c r="C91" s="303"/>
      <c r="D91" s="303"/>
      <c r="E91" s="303"/>
      <c r="F91" s="303"/>
      <c r="G91" s="303"/>
      <c r="H91" s="304"/>
      <c r="I91" s="75"/>
      <c r="J91" s="133"/>
      <c r="K91" s="79"/>
      <c r="L91" s="292" t="s">
        <v>77</v>
      </c>
      <c r="M91" s="292"/>
      <c r="N91" s="292"/>
      <c r="O91" s="80"/>
      <c r="P91" s="97"/>
    </row>
    <row r="92" spans="2:17" x14ac:dyDescent="0.2">
      <c r="B92" s="75"/>
      <c r="C92" s="75"/>
      <c r="D92" s="27"/>
      <c r="E92" s="27"/>
      <c r="F92" s="27"/>
      <c r="G92" s="75"/>
      <c r="H92" s="27"/>
      <c r="I92" s="75"/>
      <c r="J92" s="133"/>
      <c r="K92" s="79"/>
      <c r="L92" s="27"/>
      <c r="M92" s="75"/>
      <c r="N92" s="39"/>
      <c r="O92" s="80"/>
      <c r="P92" s="97"/>
    </row>
    <row r="93" spans="2:17" ht="15" thickBot="1" x14ac:dyDescent="0.25">
      <c r="B93" s="75"/>
      <c r="C93" s="75"/>
      <c r="D93" s="27"/>
      <c r="E93" s="27"/>
      <c r="F93" s="27"/>
      <c r="G93" s="75"/>
      <c r="H93" s="27"/>
      <c r="I93" s="75"/>
      <c r="J93" s="133"/>
      <c r="K93" s="79"/>
      <c r="L93" s="27"/>
      <c r="M93" s="75"/>
      <c r="N93" s="39"/>
      <c r="O93" s="80"/>
      <c r="P93" s="97"/>
    </row>
    <row r="94" spans="2:17" ht="15.75" x14ac:dyDescent="0.25">
      <c r="B94" s="91" t="s">
        <v>117</v>
      </c>
      <c r="C94" s="75"/>
      <c r="D94" s="37"/>
      <c r="E94" s="37"/>
      <c r="F94" s="37"/>
      <c r="G94" s="75"/>
      <c r="H94" s="151">
        <f>Daten!J7</f>
        <v>17145.603299999999</v>
      </c>
      <c r="I94" s="75"/>
      <c r="J94" s="133"/>
      <c r="K94" s="79"/>
      <c r="L94" s="59">
        <v>9950</v>
      </c>
      <c r="M94" s="75"/>
      <c r="N94" s="91" t="s">
        <v>45</v>
      </c>
      <c r="O94" s="80"/>
      <c r="P94" s="97"/>
      <c r="Q94" s="181"/>
    </row>
    <row r="95" spans="2:17" ht="15" x14ac:dyDescent="0.25">
      <c r="B95" s="84" t="s">
        <v>30</v>
      </c>
      <c r="C95" s="75"/>
      <c r="D95" s="38"/>
      <c r="E95" s="38"/>
      <c r="F95" s="38"/>
      <c r="G95" s="75"/>
      <c r="H95" s="152">
        <v>0</v>
      </c>
      <c r="I95" s="75"/>
      <c r="J95" s="133"/>
      <c r="K95" s="79"/>
      <c r="L95" s="109">
        <f>H95</f>
        <v>0</v>
      </c>
      <c r="M95" s="75"/>
      <c r="N95" s="84" t="s">
        <v>47</v>
      </c>
      <c r="O95" s="80"/>
    </row>
    <row r="96" spans="2:17" ht="15" customHeight="1" x14ac:dyDescent="0.2">
      <c r="B96" s="277" t="s">
        <v>46</v>
      </c>
      <c r="C96" s="75"/>
      <c r="D96" s="38"/>
      <c r="E96" s="38"/>
      <c r="F96" s="38"/>
      <c r="G96" s="75"/>
      <c r="H96" s="108">
        <f>L96</f>
        <v>0.35</v>
      </c>
      <c r="I96" s="75"/>
      <c r="J96" s="133"/>
      <c r="K96" s="79"/>
      <c r="L96" s="137">
        <v>0.35</v>
      </c>
      <c r="M96" s="75"/>
      <c r="N96" s="107" t="s">
        <v>60</v>
      </c>
      <c r="O96" s="80"/>
    </row>
    <row r="97" spans="2:15" ht="15.75" thickBot="1" x14ac:dyDescent="0.3">
      <c r="B97" s="278"/>
      <c r="C97" s="75"/>
      <c r="D97" s="37"/>
      <c r="E97" s="37"/>
      <c r="F97" s="37"/>
      <c r="G97" s="75"/>
      <c r="H97" s="60">
        <f>(H95+H94)*H96</f>
        <v>6000.9611549999991</v>
      </c>
      <c r="I97" s="75"/>
      <c r="J97" s="133"/>
      <c r="K97" s="79"/>
      <c r="L97" s="60">
        <f>L95*L96</f>
        <v>0</v>
      </c>
      <c r="M97" s="75"/>
      <c r="N97" s="81" t="s">
        <v>61</v>
      </c>
      <c r="O97" s="80"/>
    </row>
    <row r="98" spans="2:15" ht="15.75" thickBot="1" x14ac:dyDescent="0.3">
      <c r="B98" s="90"/>
      <c r="C98" s="75"/>
      <c r="D98" s="37"/>
      <c r="E98" s="37"/>
      <c r="F98" s="37"/>
      <c r="G98" s="75"/>
      <c r="H98" s="37"/>
      <c r="I98" s="75"/>
      <c r="J98" s="133"/>
      <c r="K98" s="79"/>
      <c r="L98" s="37"/>
      <c r="M98" s="75"/>
      <c r="N98" s="90"/>
      <c r="O98" s="80"/>
    </row>
    <row r="99" spans="2:15" ht="15.75" thickBot="1" x14ac:dyDescent="0.3">
      <c r="B99" s="19" t="s">
        <v>48</v>
      </c>
      <c r="C99" s="75"/>
      <c r="D99" s="37"/>
      <c r="E99" s="37"/>
      <c r="F99" s="37"/>
      <c r="G99" s="75"/>
      <c r="H99" s="110">
        <f>H94+H95-H97</f>
        <v>11144.642145</v>
      </c>
      <c r="I99" s="75"/>
      <c r="J99" s="133"/>
      <c r="K99" s="79"/>
      <c r="L99" s="110">
        <f>L94+L95-L97</f>
        <v>9950</v>
      </c>
      <c r="M99" s="75"/>
      <c r="N99" s="19" t="s">
        <v>48</v>
      </c>
      <c r="O99" s="80"/>
    </row>
    <row r="100" spans="2:15" ht="15.75" thickBot="1" x14ac:dyDescent="0.3">
      <c r="B100" s="95"/>
      <c r="C100" s="95"/>
      <c r="D100" s="136"/>
      <c r="E100" s="136"/>
      <c r="F100" s="136"/>
      <c r="G100" s="95"/>
      <c r="H100" s="136"/>
      <c r="I100" s="75"/>
      <c r="J100" s="133"/>
      <c r="K100" s="79"/>
      <c r="L100" s="136"/>
      <c r="M100" s="95"/>
      <c r="N100" s="95"/>
      <c r="O100" s="80"/>
    </row>
    <row r="101" spans="2:15" ht="15.75" thickBot="1" x14ac:dyDescent="0.3">
      <c r="B101" s="90"/>
      <c r="C101" s="75"/>
      <c r="D101" s="37"/>
      <c r="E101" s="37"/>
      <c r="F101" s="37"/>
      <c r="G101" s="75"/>
      <c r="H101" s="37"/>
      <c r="I101" s="75"/>
      <c r="J101" s="133"/>
      <c r="K101" s="79"/>
      <c r="L101" s="37"/>
      <c r="M101" s="75"/>
      <c r="N101" s="90"/>
      <c r="O101" s="80"/>
    </row>
    <row r="102" spans="2:15" ht="15" x14ac:dyDescent="0.25">
      <c r="B102" s="91" t="s">
        <v>31</v>
      </c>
      <c r="C102" s="75"/>
      <c r="D102" s="38"/>
      <c r="E102" s="38"/>
      <c r="F102" s="38"/>
      <c r="G102" s="75"/>
      <c r="H102" s="151">
        <v>0</v>
      </c>
      <c r="I102" s="75"/>
      <c r="J102" s="133"/>
      <c r="K102" s="79"/>
      <c r="L102" s="59">
        <f>H102</f>
        <v>0</v>
      </c>
      <c r="N102" s="91" t="s">
        <v>31</v>
      </c>
      <c r="O102" s="86"/>
    </row>
    <row r="103" spans="2:15" ht="15" x14ac:dyDescent="0.25">
      <c r="B103" s="84" t="s">
        <v>63</v>
      </c>
      <c r="C103" s="75"/>
      <c r="D103" s="37"/>
      <c r="E103" s="37"/>
      <c r="F103" s="37"/>
      <c r="G103" s="75"/>
      <c r="H103" s="152">
        <v>1000</v>
      </c>
      <c r="I103" s="75"/>
      <c r="J103" s="133"/>
      <c r="K103" s="79"/>
      <c r="L103" s="144">
        <v>1000</v>
      </c>
      <c r="M103" s="75"/>
      <c r="N103" s="84" t="s">
        <v>63</v>
      </c>
      <c r="O103" s="80"/>
    </row>
    <row r="104" spans="2:15" ht="14.25" customHeight="1" thickBot="1" x14ac:dyDescent="0.3">
      <c r="B104" s="81" t="s">
        <v>32</v>
      </c>
      <c r="C104" s="75"/>
      <c r="D104" s="37"/>
      <c r="E104" s="37"/>
      <c r="F104" s="37"/>
      <c r="G104" s="75"/>
      <c r="H104" s="153">
        <f>(H102+H103)*0.2</f>
        <v>200</v>
      </c>
      <c r="I104" s="75"/>
      <c r="J104" s="133"/>
      <c r="K104" s="79"/>
      <c r="L104" s="60">
        <f>(L103+L102)*0.2</f>
        <v>200</v>
      </c>
      <c r="M104" s="75"/>
      <c r="N104" s="81" t="s">
        <v>32</v>
      </c>
      <c r="O104" s="80"/>
    </row>
    <row r="105" spans="2:15" ht="15" thickBot="1" x14ac:dyDescent="0.25">
      <c r="D105" s="86"/>
      <c r="E105" s="86"/>
      <c r="F105" s="86"/>
      <c r="J105" s="133"/>
      <c r="K105" s="85"/>
      <c r="N105" s="86"/>
      <c r="O105" s="86"/>
    </row>
    <row r="106" spans="2:15" ht="15.75" thickBot="1" x14ac:dyDescent="0.3">
      <c r="B106" s="19" t="s">
        <v>48</v>
      </c>
      <c r="C106" s="75"/>
      <c r="D106" s="37"/>
      <c r="E106" s="37"/>
      <c r="F106" s="37"/>
      <c r="G106" s="75"/>
      <c r="H106" s="110">
        <f>H99+H102+H103-H104</f>
        <v>11944.642145</v>
      </c>
      <c r="I106" s="75"/>
      <c r="J106" s="133"/>
      <c r="K106" s="79"/>
      <c r="L106" s="110">
        <f>L99+L102+L103-L104</f>
        <v>10750</v>
      </c>
      <c r="M106" s="75"/>
      <c r="N106" s="19" t="s">
        <v>48</v>
      </c>
      <c r="O106" s="80"/>
    </row>
    <row r="107" spans="2:15" ht="15" thickBot="1" x14ac:dyDescent="0.25">
      <c r="B107" s="75"/>
      <c r="C107" s="75"/>
      <c r="D107" s="39"/>
      <c r="E107" s="39"/>
      <c r="F107" s="39"/>
      <c r="G107" s="75"/>
      <c r="H107" s="27"/>
      <c r="I107" s="75"/>
      <c r="J107" s="133"/>
      <c r="K107" s="79"/>
      <c r="L107" s="27"/>
      <c r="M107" s="75"/>
      <c r="N107" s="39"/>
      <c r="O107" s="80"/>
    </row>
    <row r="108" spans="2:15" x14ac:dyDescent="0.2">
      <c r="B108" s="91" t="s">
        <v>0</v>
      </c>
      <c r="C108" s="75"/>
      <c r="D108" s="40"/>
      <c r="E108" s="40"/>
      <c r="F108" s="40"/>
      <c r="G108" s="75"/>
      <c r="H108" s="154">
        <v>25</v>
      </c>
      <c r="I108" s="75"/>
      <c r="J108" s="133"/>
      <c r="K108" s="79"/>
      <c r="L108" s="57">
        <f>H108</f>
        <v>25</v>
      </c>
      <c r="M108" s="75"/>
      <c r="N108" s="91" t="s">
        <v>0</v>
      </c>
      <c r="O108" s="80"/>
    </row>
    <row r="109" spans="2:15" ht="15" thickBot="1" x14ac:dyDescent="0.25">
      <c r="B109" s="81" t="s">
        <v>1</v>
      </c>
      <c r="C109" s="75"/>
      <c r="D109" s="2"/>
      <c r="E109" s="2"/>
      <c r="F109" s="2"/>
      <c r="G109" s="75"/>
      <c r="H109" s="155">
        <v>0.02</v>
      </c>
      <c r="I109" s="75"/>
      <c r="J109" s="133"/>
      <c r="K109" s="79"/>
      <c r="L109" s="58">
        <f>H109</f>
        <v>0.02</v>
      </c>
      <c r="M109" s="75"/>
      <c r="N109" s="81" t="s">
        <v>1</v>
      </c>
      <c r="O109" s="80"/>
    </row>
    <row r="110" spans="2:15" x14ac:dyDescent="0.2">
      <c r="B110" s="75"/>
      <c r="C110" s="75"/>
      <c r="D110" s="2"/>
      <c r="E110" s="2"/>
      <c r="F110" s="2"/>
      <c r="G110" s="75"/>
      <c r="H110" s="2"/>
      <c r="I110" s="75"/>
      <c r="J110" s="133"/>
      <c r="K110" s="79"/>
      <c r="L110" s="2"/>
      <c r="M110" s="75"/>
      <c r="N110" s="2"/>
      <c r="O110" s="80"/>
    </row>
    <row r="111" spans="2:15" ht="15" x14ac:dyDescent="0.25">
      <c r="B111" s="138" t="s">
        <v>7</v>
      </c>
      <c r="C111" s="75"/>
      <c r="D111" s="41"/>
      <c r="E111" s="41"/>
      <c r="F111" s="41"/>
      <c r="G111" s="4"/>
      <c r="H111" s="139">
        <f>-PMT(H109,H108,H106,0)</f>
        <v>611.80980740579002</v>
      </c>
      <c r="I111" s="4"/>
      <c r="J111" s="133"/>
      <c r="K111" s="53"/>
      <c r="L111" s="64">
        <f>-PMT(L109,L108,L106,0)</f>
        <v>550.61971298699325</v>
      </c>
      <c r="M111" s="4"/>
      <c r="N111" s="145" t="s">
        <v>7</v>
      </c>
      <c r="O111" s="47"/>
    </row>
    <row r="112" spans="2:15" ht="15" thickBot="1" x14ac:dyDescent="0.25">
      <c r="J112" s="133"/>
      <c r="K112" s="85"/>
      <c r="N112" s="86"/>
      <c r="O112" s="86"/>
    </row>
    <row r="113" spans="2:26" ht="15" customHeight="1" x14ac:dyDescent="0.25">
      <c r="B113" s="281" t="s">
        <v>85</v>
      </c>
      <c r="C113" s="75"/>
      <c r="D113" s="40"/>
      <c r="E113" s="40"/>
      <c r="F113" s="40"/>
      <c r="G113" s="75"/>
      <c r="H113" s="139">
        <f>H111+H75+H62</f>
        <v>4754.0185296679392</v>
      </c>
      <c r="I113" s="75"/>
      <c r="J113" s="133"/>
      <c r="K113" s="79"/>
      <c r="L113" s="62">
        <f>L111+L75+L62</f>
        <v>4055.206991898558</v>
      </c>
      <c r="M113" s="75"/>
      <c r="N113" s="272" t="s">
        <v>85</v>
      </c>
      <c r="O113" s="80"/>
      <c r="P113" s="244" t="s">
        <v>87</v>
      </c>
      <c r="Q113" s="245"/>
      <c r="R113" s="245"/>
      <c r="S113" s="245"/>
      <c r="T113" s="245"/>
      <c r="U113" s="245"/>
      <c r="V113" s="246"/>
      <c r="W113" s="141"/>
      <c r="X113" s="141"/>
      <c r="Y113" s="141"/>
      <c r="Z113" s="141"/>
    </row>
    <row r="114" spans="2:26" ht="15.75" thickBot="1" x14ac:dyDescent="0.3">
      <c r="B114" s="282"/>
      <c r="C114" s="75"/>
      <c r="D114" s="40"/>
      <c r="E114" s="40"/>
      <c r="F114" s="40"/>
      <c r="G114" s="6"/>
      <c r="H114" s="140">
        <f>H113/H60*100</f>
        <v>11.887536763121725</v>
      </c>
      <c r="I114" s="6"/>
      <c r="J114" s="134"/>
      <c r="K114" s="56"/>
      <c r="L114" s="63">
        <f>L113/L60*100</f>
        <v>10.140141839461762</v>
      </c>
      <c r="M114" s="6"/>
      <c r="N114" s="273"/>
      <c r="O114" s="51"/>
      <c r="P114" s="247"/>
      <c r="Q114" s="248"/>
      <c r="R114" s="248"/>
      <c r="S114" s="248"/>
      <c r="T114" s="248"/>
      <c r="U114" s="248"/>
      <c r="V114" s="249"/>
      <c r="W114" s="141"/>
      <c r="X114" s="141"/>
      <c r="Y114" s="141"/>
      <c r="Z114" s="141"/>
    </row>
    <row r="116" spans="2:26" ht="15.75" thickBot="1" x14ac:dyDescent="0.3">
      <c r="L116" s="172" t="s">
        <v>91</v>
      </c>
    </row>
    <row r="117" spans="2:26" x14ac:dyDescent="0.2">
      <c r="L117" s="173">
        <f>L23+L28</f>
        <v>2402.5406122448981</v>
      </c>
      <c r="N117" s="175" t="s">
        <v>71</v>
      </c>
    </row>
    <row r="118" spans="2:26" x14ac:dyDescent="0.2">
      <c r="L118" s="174">
        <f>L66</f>
        <v>716.25</v>
      </c>
      <c r="N118" s="176" t="s">
        <v>36</v>
      </c>
    </row>
    <row r="119" spans="2:26" ht="15" thickBot="1" x14ac:dyDescent="0.25">
      <c r="D119" s="96"/>
      <c r="E119" s="96"/>
      <c r="F119" s="96"/>
      <c r="H119" s="96"/>
      <c r="L119" s="177">
        <f>-PMT(L109,L108,L94)</f>
        <v>509.64336225307744</v>
      </c>
      <c r="N119" s="177" t="s">
        <v>79</v>
      </c>
      <c r="P119" s="185" t="s">
        <v>86</v>
      </c>
      <c r="Q119" s="186"/>
      <c r="R119" s="186"/>
      <c r="S119" s="186"/>
      <c r="T119" s="186"/>
      <c r="U119" s="186"/>
      <c r="V119" s="187"/>
    </row>
    <row r="120" spans="2:26" ht="15.75" thickBot="1" x14ac:dyDescent="0.3">
      <c r="D120" s="98"/>
      <c r="E120" s="98"/>
      <c r="F120" s="98"/>
      <c r="L120" s="178">
        <f>L117+L118+L119</f>
        <v>3628.4339744979757</v>
      </c>
      <c r="N120" s="178" t="s">
        <v>72</v>
      </c>
    </row>
    <row r="121" spans="2:26" ht="15" thickBot="1" x14ac:dyDescent="0.25">
      <c r="D121" s="96"/>
      <c r="E121" s="96"/>
      <c r="F121" s="96"/>
    </row>
    <row r="122" spans="2:26" ht="15.75" thickBot="1" x14ac:dyDescent="0.3">
      <c r="D122" s="96"/>
      <c r="E122" s="96"/>
      <c r="F122" s="96"/>
      <c r="L122" s="178">
        <f>L56</f>
        <v>385.79666666666662</v>
      </c>
      <c r="N122" s="183" t="s">
        <v>80</v>
      </c>
    </row>
    <row r="123" spans="2:26" ht="15" thickBot="1" x14ac:dyDescent="0.25">
      <c r="D123" s="96"/>
      <c r="E123" s="96"/>
      <c r="F123" s="96"/>
    </row>
    <row r="124" spans="2:26" x14ac:dyDescent="0.2">
      <c r="L124" s="173">
        <f>-PMT(L109,L108,L95-L97)</f>
        <v>0</v>
      </c>
      <c r="N124" s="175" t="s">
        <v>47</v>
      </c>
    </row>
    <row r="125" spans="2:26" ht="15" thickBot="1" x14ac:dyDescent="0.25">
      <c r="L125" s="177">
        <f>-PMT(L109,L108,L103-L104)</f>
        <v>40.97635073391578</v>
      </c>
      <c r="N125" s="177" t="s">
        <v>31</v>
      </c>
    </row>
    <row r="126" spans="2:26" ht="15.75" thickBot="1" x14ac:dyDescent="0.3">
      <c r="L126" s="178">
        <f>L125+L124</f>
        <v>40.97635073391578</v>
      </c>
      <c r="N126" s="178" t="s">
        <v>78</v>
      </c>
      <c r="P126" s="250" t="s">
        <v>88</v>
      </c>
      <c r="Q126" s="250"/>
      <c r="R126" s="250"/>
      <c r="S126" s="250"/>
      <c r="T126" s="250"/>
      <c r="U126" s="250"/>
      <c r="V126" s="250"/>
    </row>
    <row r="128" spans="2:26" x14ac:dyDescent="0.2">
      <c r="L128" s="96"/>
    </row>
    <row r="130" spans="12:12" x14ac:dyDescent="0.2">
      <c r="L130" s="96"/>
    </row>
  </sheetData>
  <mergeCells count="40">
    <mergeCell ref="N113:N114"/>
    <mergeCell ref="B78:B79"/>
    <mergeCell ref="B113:B114"/>
    <mergeCell ref="L66:L68"/>
    <mergeCell ref="J78:J86"/>
    <mergeCell ref="B96:B97"/>
    <mergeCell ref="B91:H91"/>
    <mergeCell ref="F78:F86"/>
    <mergeCell ref="B71:B72"/>
    <mergeCell ref="AA30:AB30"/>
    <mergeCell ref="L91:N91"/>
    <mergeCell ref="P48:S50"/>
    <mergeCell ref="N66:N68"/>
    <mergeCell ref="N78:N79"/>
    <mergeCell ref="AA14:AC14"/>
    <mergeCell ref="J6:J7"/>
    <mergeCell ref="L6:N6"/>
    <mergeCell ref="B2:N3"/>
    <mergeCell ref="N62:N63"/>
    <mergeCell ref="J10:J63"/>
    <mergeCell ref="N24:N25"/>
    <mergeCell ref="L24:L25"/>
    <mergeCell ref="B62:B63"/>
    <mergeCell ref="P28:S30"/>
    <mergeCell ref="P52:S54"/>
    <mergeCell ref="P56:V57"/>
    <mergeCell ref="F6:F7"/>
    <mergeCell ref="F10:F63"/>
    <mergeCell ref="B23:B24"/>
    <mergeCell ref="AA29:AB29"/>
    <mergeCell ref="P113:V114"/>
    <mergeCell ref="P126:V126"/>
    <mergeCell ref="P12:V12"/>
    <mergeCell ref="P78:V79"/>
    <mergeCell ref="P66:V66"/>
    <mergeCell ref="P67:V67"/>
    <mergeCell ref="P68:V68"/>
    <mergeCell ref="P23:V26"/>
    <mergeCell ref="P17:S19"/>
    <mergeCell ref="P15:V1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9"/>
  <sheetViews>
    <sheetView workbookViewId="0">
      <selection activeCell="I18" sqref="I18"/>
    </sheetView>
  </sheetViews>
  <sheetFormatPr baseColWidth="10" defaultRowHeight="15" x14ac:dyDescent="0.25"/>
  <cols>
    <col min="1" max="1" width="55.5703125" bestFit="1" customWidth="1"/>
    <col min="2" max="8" width="11.85546875" bestFit="1" customWidth="1"/>
    <col min="10" max="10" width="14.85546875" bestFit="1" customWidth="1"/>
  </cols>
  <sheetData>
    <row r="1" spans="1:16" x14ac:dyDescent="0.25">
      <c r="A1" s="8"/>
      <c r="B1" s="8"/>
      <c r="C1" s="8"/>
      <c r="D1" s="8"/>
      <c r="E1" s="8"/>
      <c r="F1" s="8"/>
      <c r="G1" s="8"/>
      <c r="H1" s="8"/>
    </row>
    <row r="2" spans="1:16" ht="15.75" thickBot="1" x14ac:dyDescent="0.3">
      <c r="A2" s="5" t="s">
        <v>109</v>
      </c>
      <c r="B2" s="8"/>
      <c r="C2" s="8"/>
      <c r="D2" s="8"/>
      <c r="E2" s="8"/>
      <c r="F2" s="8"/>
      <c r="G2" s="8"/>
      <c r="H2" s="8"/>
      <c r="J2" t="s">
        <v>69</v>
      </c>
      <c r="L2" s="171" t="s">
        <v>70</v>
      </c>
    </row>
    <row r="3" spans="1:16" s="1" customFormat="1" x14ac:dyDescent="0.25">
      <c r="A3" s="157" t="s">
        <v>10</v>
      </c>
      <c r="B3" s="158">
        <v>8</v>
      </c>
      <c r="C3" s="158">
        <v>12</v>
      </c>
      <c r="D3" s="158">
        <v>16</v>
      </c>
      <c r="E3" s="158">
        <v>19</v>
      </c>
      <c r="F3" s="158">
        <v>23</v>
      </c>
      <c r="G3" s="158">
        <v>25</v>
      </c>
      <c r="H3" s="159">
        <v>38</v>
      </c>
      <c r="J3" s="170">
        <f>IF($L$3&lt;=$B$3,B3,IF($L$3&lt;=$C$3,C3,IF($L$3&lt;=$D$3,D3,IF($L$3&lt;=$E$3,E3,IF($L$3&lt;=$F$3,F3,IF($L$3&lt;=$G$3,G3,H3))))))</f>
        <v>23</v>
      </c>
      <c r="L3" s="188">
        <f>Ergebnis!D12</f>
        <v>22.75</v>
      </c>
    </row>
    <row r="4" spans="1:16" s="1" customFormat="1" x14ac:dyDescent="0.25">
      <c r="A4" s="307" t="s">
        <v>66</v>
      </c>
      <c r="B4" s="160">
        <f>SUM(B9:B12,B13)*B5</f>
        <v>292.05042474999999</v>
      </c>
      <c r="C4" s="160">
        <f t="shared" ref="C4:H4" si="0">SUM(C9:C12,C13)*C5</f>
        <v>292.05042474999999</v>
      </c>
      <c r="D4" s="160">
        <f t="shared" si="0"/>
        <v>292.05042474999999</v>
      </c>
      <c r="E4" s="160">
        <f t="shared" si="0"/>
        <v>292.05042474999999</v>
      </c>
      <c r="F4" s="160">
        <f t="shared" si="0"/>
        <v>300.04805775</v>
      </c>
      <c r="G4" s="160">
        <f t="shared" si="0"/>
        <v>297.73273424999996</v>
      </c>
      <c r="H4" s="161">
        <f t="shared" si="0"/>
        <v>349.22504575000005</v>
      </c>
      <c r="J4" s="189">
        <f t="shared" ref="J4:J8" si="1">IF($L$3&lt;=$B$3,B4,IF($L$3&lt;=$C$3,C4,IF($L$3&lt;=$D$3,D4,IF($L$3&lt;=$E$3,E4,IF($L$3&lt;=$F$3,F4,IF($L$3&lt;=$G$3,G4,H4))))))</f>
        <v>300.04805775</v>
      </c>
    </row>
    <row r="5" spans="1:16" s="1" customFormat="1" x14ac:dyDescent="0.25">
      <c r="A5" s="307"/>
      <c r="B5" s="162">
        <v>1.7500000000000002E-2</v>
      </c>
      <c r="C5" s="162">
        <v>1.7500000000000002E-2</v>
      </c>
      <c r="D5" s="162">
        <v>1.7500000000000002E-2</v>
      </c>
      <c r="E5" s="162">
        <v>1.7500000000000002E-2</v>
      </c>
      <c r="F5" s="162">
        <v>1.7500000000000002E-2</v>
      </c>
      <c r="G5" s="162">
        <v>1.7500000000000002E-2</v>
      </c>
      <c r="H5" s="163">
        <v>1.7500000000000002E-2</v>
      </c>
      <c r="J5" s="190">
        <f t="shared" si="1"/>
        <v>1.7500000000000002E-2</v>
      </c>
    </row>
    <row r="6" spans="1:16" s="1" customFormat="1" x14ac:dyDescent="0.25">
      <c r="A6" s="164" t="s">
        <v>67</v>
      </c>
      <c r="B6" s="160">
        <v>183.5932</v>
      </c>
      <c r="C6" s="160">
        <v>183.5932</v>
      </c>
      <c r="D6" s="160">
        <v>183.5932</v>
      </c>
      <c r="E6" s="160">
        <v>183.5932</v>
      </c>
      <c r="F6" s="160">
        <v>183.5932</v>
      </c>
      <c r="G6" s="160">
        <v>183.5932</v>
      </c>
      <c r="H6" s="161">
        <v>228.42287999999999</v>
      </c>
      <c r="J6" s="189">
        <f t="shared" si="1"/>
        <v>183.5932</v>
      </c>
    </row>
    <row r="7" spans="1:16" s="1" customFormat="1" x14ac:dyDescent="0.25">
      <c r="A7" s="307" t="s">
        <v>68</v>
      </c>
      <c r="B7" s="165">
        <f t="shared" ref="B7:H7" si="2">SUM(B9:B13)</f>
        <v>16688.595699999998</v>
      </c>
      <c r="C7" s="165">
        <f t="shared" si="2"/>
        <v>16688.595699999998</v>
      </c>
      <c r="D7" s="165">
        <f t="shared" si="2"/>
        <v>16688.595699999998</v>
      </c>
      <c r="E7" s="165">
        <f t="shared" si="2"/>
        <v>16688.595699999998</v>
      </c>
      <c r="F7" s="165">
        <f t="shared" si="2"/>
        <v>17145.603299999999</v>
      </c>
      <c r="G7" s="165">
        <f t="shared" si="2"/>
        <v>17013.299099999997</v>
      </c>
      <c r="H7" s="166">
        <f t="shared" si="2"/>
        <v>19955.716899999999</v>
      </c>
      <c r="J7" s="191">
        <f t="shared" si="1"/>
        <v>17145.603299999999</v>
      </c>
    </row>
    <row r="8" spans="1:16" s="1" customFormat="1" ht="15.75" thickBot="1" x14ac:dyDescent="0.3">
      <c r="A8" s="308"/>
      <c r="B8" s="167">
        <f>B7/B3</f>
        <v>2086.0744624999998</v>
      </c>
      <c r="C8" s="167">
        <f t="shared" ref="C8:H8" si="3">C7/C3</f>
        <v>1390.7163083333332</v>
      </c>
      <c r="D8" s="167">
        <f t="shared" si="3"/>
        <v>1043.0372312499999</v>
      </c>
      <c r="E8" s="167">
        <f t="shared" si="3"/>
        <v>878.34714210526306</v>
      </c>
      <c r="F8" s="167">
        <f t="shared" si="3"/>
        <v>745.46101304347826</v>
      </c>
      <c r="G8" s="167">
        <f t="shared" si="3"/>
        <v>680.5319639999999</v>
      </c>
      <c r="H8" s="168">
        <f t="shared" si="3"/>
        <v>525.15044473684213</v>
      </c>
      <c r="J8" s="192">
        <f t="shared" si="1"/>
        <v>745.46101304347826</v>
      </c>
    </row>
    <row r="9" spans="1:16" x14ac:dyDescent="0.25">
      <c r="A9" s="9" t="s">
        <v>110</v>
      </c>
      <c r="B9" s="10">
        <v>11232.517099999999</v>
      </c>
      <c r="C9" s="10">
        <v>11232.517099999999</v>
      </c>
      <c r="D9" s="10">
        <v>11232.517099999999</v>
      </c>
      <c r="E9" s="10">
        <v>11232.517099999999</v>
      </c>
      <c r="F9" s="10">
        <v>11505.027099999998</v>
      </c>
      <c r="G9" s="10">
        <v>11505.027099999998</v>
      </c>
      <c r="H9" s="15">
        <v>12849.370100000002</v>
      </c>
      <c r="J9" s="156"/>
      <c r="K9" s="156"/>
      <c r="L9" s="156"/>
      <c r="M9" s="156"/>
      <c r="N9" s="156"/>
      <c r="O9" s="156"/>
      <c r="P9" s="156"/>
    </row>
    <row r="10" spans="1:16" x14ac:dyDescent="0.25">
      <c r="A10" s="9" t="s">
        <v>111</v>
      </c>
      <c r="B10" s="10">
        <v>498.80040000000002</v>
      </c>
      <c r="C10" s="10">
        <v>498.80040000000002</v>
      </c>
      <c r="D10" s="10">
        <v>498.80040000000002</v>
      </c>
      <c r="E10" s="10">
        <v>498.80040000000002</v>
      </c>
      <c r="F10" s="10">
        <v>498.80040000000002</v>
      </c>
      <c r="G10" s="10">
        <v>498.80040000000002</v>
      </c>
      <c r="H10" s="15">
        <v>598.7604</v>
      </c>
      <c r="J10" s="156"/>
      <c r="K10" s="156"/>
      <c r="L10" s="156"/>
      <c r="M10" s="156"/>
      <c r="N10" s="156"/>
      <c r="O10" s="156"/>
      <c r="P10" s="156"/>
    </row>
    <row r="11" spans="1:16" x14ac:dyDescent="0.25">
      <c r="A11" s="9" t="s">
        <v>8</v>
      </c>
      <c r="B11" s="10">
        <v>160.04310000000001</v>
      </c>
      <c r="C11" s="10">
        <v>160.04310000000001</v>
      </c>
      <c r="D11" s="10">
        <v>160.04310000000001</v>
      </c>
      <c r="E11" s="10">
        <v>160.04310000000001</v>
      </c>
      <c r="F11" s="10">
        <v>160.04310000000001</v>
      </c>
      <c r="G11" s="10">
        <v>160.04310000000001</v>
      </c>
      <c r="H11" s="15">
        <v>180.88</v>
      </c>
      <c r="J11" s="156"/>
      <c r="K11" s="156"/>
      <c r="L11" s="156"/>
      <c r="M11" s="156"/>
      <c r="N11" s="156"/>
      <c r="O11" s="156"/>
      <c r="P11" s="156"/>
    </row>
    <row r="12" spans="1:16" x14ac:dyDescent="0.25">
      <c r="A12" s="9" t="s">
        <v>112</v>
      </c>
      <c r="B12" s="10">
        <v>1879.3074999999999</v>
      </c>
      <c r="C12" s="10">
        <v>1879.3074999999999</v>
      </c>
      <c r="D12" s="10">
        <v>1879.3074999999999</v>
      </c>
      <c r="E12" s="10">
        <v>1879.3074999999999</v>
      </c>
      <c r="F12" s="10">
        <v>2009.4101999999998</v>
      </c>
      <c r="G12" s="10">
        <v>1879.3074999999999</v>
      </c>
      <c r="H12" s="15">
        <v>2686.6153999999997</v>
      </c>
      <c r="J12" s="156"/>
      <c r="K12" s="156"/>
      <c r="L12" s="156"/>
      <c r="M12" s="156"/>
      <c r="N12" s="156"/>
      <c r="O12" s="156"/>
      <c r="P12" s="156"/>
    </row>
    <row r="13" spans="1:16" ht="15.75" thickBot="1" x14ac:dyDescent="0.3">
      <c r="A13" s="11" t="s">
        <v>9</v>
      </c>
      <c r="B13" s="12">
        <v>2917.9276</v>
      </c>
      <c r="C13" s="12">
        <v>2917.9276</v>
      </c>
      <c r="D13" s="12">
        <v>2917.9276</v>
      </c>
      <c r="E13" s="12">
        <v>2917.9276</v>
      </c>
      <c r="F13" s="12">
        <v>2972.3224999999998</v>
      </c>
      <c r="G13" s="12">
        <v>2970.1210000000001</v>
      </c>
      <c r="H13" s="16">
        <v>3640.0909999999999</v>
      </c>
      <c r="J13" s="156"/>
      <c r="K13" s="156"/>
      <c r="L13" s="156"/>
      <c r="M13" s="156"/>
      <c r="N13" s="156"/>
      <c r="O13" s="156"/>
      <c r="P13" s="156"/>
    </row>
    <row r="14" spans="1:16" x14ac:dyDescent="0.25">
      <c r="A14" s="13"/>
      <c r="B14" s="14"/>
      <c r="C14" s="14"/>
      <c r="D14" s="14"/>
      <c r="E14" s="14"/>
      <c r="F14" s="14"/>
      <c r="G14" s="14"/>
      <c r="H14" s="14"/>
    </row>
    <row r="15" spans="1:16" s="1" customFormat="1" x14ac:dyDescent="0.25">
      <c r="A15" s="5" t="s">
        <v>64</v>
      </c>
    </row>
    <row r="16" spans="1:16" s="1" customFormat="1" x14ac:dyDescent="0.25">
      <c r="A16" s="193" t="s">
        <v>11</v>
      </c>
      <c r="B16" s="309" t="s">
        <v>92</v>
      </c>
      <c r="C16" s="310"/>
      <c r="D16" s="310"/>
      <c r="E16" s="310"/>
      <c r="F16" s="310"/>
      <c r="G16" s="310"/>
      <c r="H16" s="311"/>
    </row>
    <row r="17" spans="1:8" s="1" customFormat="1" x14ac:dyDescent="0.25">
      <c r="A17" s="193" t="s">
        <v>21</v>
      </c>
      <c r="B17" s="312"/>
      <c r="C17" s="313"/>
      <c r="D17" s="313"/>
      <c r="E17" s="313"/>
      <c r="F17" s="313"/>
      <c r="G17" s="313"/>
      <c r="H17" s="314"/>
    </row>
    <row r="18" spans="1:8" s="1" customFormat="1" x14ac:dyDescent="0.25">
      <c r="A18" s="193" t="s">
        <v>65</v>
      </c>
      <c r="B18" s="312"/>
      <c r="C18" s="313"/>
      <c r="D18" s="313"/>
      <c r="E18" s="313"/>
      <c r="F18" s="313"/>
      <c r="G18" s="313"/>
      <c r="H18" s="314"/>
    </row>
    <row r="19" spans="1:8" s="1" customFormat="1" x14ac:dyDescent="0.25">
      <c r="A19" s="193" t="s">
        <v>22</v>
      </c>
      <c r="B19" s="312"/>
      <c r="C19" s="313"/>
      <c r="D19" s="313"/>
      <c r="E19" s="313"/>
      <c r="F19" s="313"/>
      <c r="G19" s="313"/>
      <c r="H19" s="314"/>
    </row>
    <row r="20" spans="1:8" s="1" customFormat="1" x14ac:dyDescent="0.25">
      <c r="A20" s="193" t="s">
        <v>12</v>
      </c>
      <c r="B20" s="312"/>
      <c r="C20" s="313"/>
      <c r="D20" s="313"/>
      <c r="E20" s="313"/>
      <c r="F20" s="313"/>
      <c r="G20" s="313"/>
      <c r="H20" s="314"/>
    </row>
    <row r="21" spans="1:8" s="1" customFormat="1" x14ac:dyDescent="0.25">
      <c r="A21" s="193" t="s">
        <v>13</v>
      </c>
      <c r="B21" s="312"/>
      <c r="C21" s="313"/>
      <c r="D21" s="313"/>
      <c r="E21" s="313"/>
      <c r="F21" s="313"/>
      <c r="G21" s="313"/>
      <c r="H21" s="314"/>
    </row>
    <row r="22" spans="1:8" s="1" customFormat="1" x14ac:dyDescent="0.25">
      <c r="A22" s="193" t="s">
        <v>14</v>
      </c>
      <c r="B22" s="312"/>
      <c r="C22" s="313"/>
      <c r="D22" s="313"/>
      <c r="E22" s="313"/>
      <c r="F22" s="313"/>
      <c r="G22" s="313"/>
      <c r="H22" s="314"/>
    </row>
    <row r="23" spans="1:8" s="1" customFormat="1" x14ac:dyDescent="0.25">
      <c r="A23" s="193" t="s">
        <v>15</v>
      </c>
      <c r="B23" s="312"/>
      <c r="C23" s="313"/>
      <c r="D23" s="313"/>
      <c r="E23" s="313"/>
      <c r="F23" s="313"/>
      <c r="G23" s="313"/>
      <c r="H23" s="314"/>
    </row>
    <row r="24" spans="1:8" s="1" customFormat="1" x14ac:dyDescent="0.25">
      <c r="A24" s="193" t="s">
        <v>16</v>
      </c>
      <c r="B24" s="312"/>
      <c r="C24" s="313"/>
      <c r="D24" s="313"/>
      <c r="E24" s="313"/>
      <c r="F24" s="313"/>
      <c r="G24" s="313"/>
      <c r="H24" s="314"/>
    </row>
    <row r="25" spans="1:8" s="1" customFormat="1" x14ac:dyDescent="0.25">
      <c r="A25" s="193" t="s">
        <v>17</v>
      </c>
      <c r="B25" s="312"/>
      <c r="C25" s="313"/>
      <c r="D25" s="313"/>
      <c r="E25" s="313"/>
      <c r="F25" s="313"/>
      <c r="G25" s="313"/>
      <c r="H25" s="314"/>
    </row>
    <row r="26" spans="1:8" s="1" customFormat="1" x14ac:dyDescent="0.25">
      <c r="A26" s="193" t="s">
        <v>18</v>
      </c>
      <c r="B26" s="312"/>
      <c r="C26" s="313"/>
      <c r="D26" s="313"/>
      <c r="E26" s="313"/>
      <c r="F26" s="313"/>
      <c r="G26" s="313"/>
      <c r="H26" s="314"/>
    </row>
    <row r="27" spans="1:8" s="1" customFormat="1" x14ac:dyDescent="0.25">
      <c r="A27" s="193" t="s">
        <v>19</v>
      </c>
      <c r="B27" s="315"/>
      <c r="C27" s="316"/>
      <c r="D27" s="316"/>
      <c r="E27" s="316"/>
      <c r="F27" s="316"/>
      <c r="G27" s="316"/>
      <c r="H27" s="317"/>
    </row>
    <row r="28" spans="1:8" s="1" customFormat="1" ht="15.75" thickBot="1" x14ac:dyDescent="0.3"/>
    <row r="29" spans="1:8" s="1" customFormat="1" ht="15.75" thickBot="1" x14ac:dyDescent="0.3">
      <c r="A29" s="169" t="s">
        <v>20</v>
      </c>
      <c r="B29" s="184">
        <f>B7</f>
        <v>16688.595699999998</v>
      </c>
      <c r="C29" s="184">
        <f t="shared" ref="C29:H29" si="4">C7</f>
        <v>16688.595699999998</v>
      </c>
      <c r="D29" s="184">
        <f t="shared" si="4"/>
        <v>16688.595699999998</v>
      </c>
      <c r="E29" s="184">
        <f t="shared" si="4"/>
        <v>16688.595699999998</v>
      </c>
      <c r="F29" s="184">
        <f t="shared" si="4"/>
        <v>17145.603299999999</v>
      </c>
      <c r="G29" s="184">
        <f t="shared" si="4"/>
        <v>17013.299099999997</v>
      </c>
      <c r="H29" s="184">
        <f t="shared" si="4"/>
        <v>19955.716899999999</v>
      </c>
    </row>
  </sheetData>
  <mergeCells count="3">
    <mergeCell ref="A4:A5"/>
    <mergeCell ref="A7:A8"/>
    <mergeCell ref="B16:H27"/>
  </mergeCells>
  <phoneticPr fontId="16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Ergebnis</vt:lpstr>
      <vt:lpstr>Daten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Ap-Wärme</dc:creator>
  <cp:lastModifiedBy>Hubert Daubmeier</cp:lastModifiedBy>
  <dcterms:created xsi:type="dcterms:W3CDTF">2014-08-19T13:12:21Z</dcterms:created>
  <dcterms:modified xsi:type="dcterms:W3CDTF">2021-08-05T13:42:25Z</dcterms:modified>
</cp:coreProperties>
</file>