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4d8bd3b43466be/Nahwärme Joshofen/5.8.2021/"/>
    </mc:Choice>
  </mc:AlternateContent>
  <xr:revisionPtr revIDLastSave="0" documentId="8_{89A92AB3-CBD0-42B2-9039-1ADDD03C0BD2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Ergebnis" sheetId="5" r:id="rId1"/>
    <sheet name="Dat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5" l="1"/>
  <c r="H52" i="5"/>
  <c r="D53" i="5"/>
  <c r="D52" i="5"/>
  <c r="H56" i="5" l="1"/>
  <c r="D56" i="5"/>
  <c r="H29" i="5"/>
  <c r="H75" i="5" l="1"/>
  <c r="D29" i="5" l="1"/>
  <c r="D24" i="5" s="1"/>
  <c r="D25" i="5" s="1"/>
  <c r="D22" i="5"/>
  <c r="H22" i="5" l="1"/>
  <c r="H20" i="5" s="1"/>
  <c r="H24" i="5" s="1"/>
  <c r="H25" i="5" s="1"/>
  <c r="L28" i="5"/>
  <c r="B8" i="3"/>
  <c r="B4" i="3"/>
  <c r="L34" i="5" l="1"/>
  <c r="B7" i="3"/>
  <c r="B29" i="3" s="1"/>
  <c r="H83" i="5"/>
  <c r="L35" i="5"/>
  <c r="H35" i="5" l="1"/>
  <c r="D36" i="5"/>
  <c r="H38" i="5"/>
  <c r="L38" i="5" s="1"/>
  <c r="H34" i="5"/>
  <c r="L81" i="5"/>
  <c r="L83" i="5" s="1"/>
  <c r="L74" i="5"/>
  <c r="L88" i="5"/>
  <c r="L87" i="5"/>
  <c r="H10" i="5"/>
  <c r="L10" i="5" s="1"/>
  <c r="H13" i="5"/>
  <c r="L13" i="5" s="1"/>
  <c r="D12" i="5"/>
  <c r="D43" i="5" l="1"/>
  <c r="D39" i="5"/>
  <c r="D40" i="5" s="1"/>
  <c r="L104" i="5"/>
  <c r="L98" i="5"/>
  <c r="H12" i="5"/>
  <c r="L12" i="5" s="1"/>
  <c r="L52" i="5" s="1"/>
  <c r="L97" i="5" s="1"/>
  <c r="L64" i="5" s="1"/>
  <c r="L3" i="3"/>
  <c r="L36" i="5"/>
  <c r="H36" i="5"/>
  <c r="L76" i="5"/>
  <c r="L78" i="5" s="1"/>
  <c r="L85" i="5" s="1"/>
  <c r="L90" i="5" s="1"/>
  <c r="D46" i="5" l="1"/>
  <c r="L46" i="5" s="1"/>
  <c r="L103" i="5"/>
  <c r="L105" i="5" s="1"/>
  <c r="J3" i="3"/>
  <c r="J5" i="3"/>
  <c r="J6" i="3"/>
  <c r="H39" i="5"/>
  <c r="L39" i="5" s="1"/>
  <c r="L40" i="5" s="1"/>
  <c r="L29" i="5" s="1"/>
  <c r="D42" i="5"/>
  <c r="H43" i="5"/>
  <c r="H40" i="5"/>
  <c r="H46" i="5" s="1"/>
  <c r="L22" i="5" l="1"/>
  <c r="L18" i="5" s="1"/>
  <c r="L24" i="5" s="1"/>
  <c r="L96" i="5" s="1"/>
  <c r="D48" i="5"/>
  <c r="D49" i="5" s="1"/>
  <c r="H42" i="5"/>
  <c r="H48" i="5" s="1"/>
  <c r="H49" i="5" s="1"/>
  <c r="L43" i="5"/>
  <c r="L42" i="5" s="1"/>
  <c r="L101" i="5" s="1"/>
  <c r="L67" i="5" s="1"/>
  <c r="C7" i="3"/>
  <c r="D7" i="3"/>
  <c r="D29" i="3" s="1"/>
  <c r="E7" i="3"/>
  <c r="F7" i="3"/>
  <c r="F29" i="3" s="1"/>
  <c r="G7" i="3"/>
  <c r="G29" i="3" s="1"/>
  <c r="H7" i="3"/>
  <c r="H29" i="3" s="1"/>
  <c r="L48" i="5" l="1"/>
  <c r="L63" i="5"/>
  <c r="C29" i="3"/>
  <c r="E29" i="3"/>
  <c r="J7" i="3"/>
  <c r="F8" i="3"/>
  <c r="E8" i="3"/>
  <c r="J8" i="3" s="1"/>
  <c r="D8" i="3"/>
  <c r="C8" i="3"/>
  <c r="H8" i="3"/>
  <c r="G8" i="3"/>
  <c r="L49" i="5" l="1"/>
  <c r="H76" i="5"/>
  <c r="H78" i="5" s="1"/>
  <c r="H85" i="5" s="1"/>
  <c r="H90" i="5" s="1"/>
  <c r="L56" i="5"/>
  <c r="L59" i="5" s="1"/>
  <c r="C4" i="3" l="1"/>
  <c r="H4" i="3"/>
  <c r="D4" i="3"/>
  <c r="G4" i="3"/>
  <c r="E4" i="3"/>
  <c r="J4" i="3" s="1"/>
  <c r="F4" i="3"/>
  <c r="D59" i="5" l="1"/>
  <c r="D60" i="5" s="1"/>
  <c r="L99" i="5"/>
  <c r="L65" i="5"/>
  <c r="L60" i="5"/>
  <c r="L92" i="5"/>
  <c r="H59" i="5" l="1"/>
  <c r="H60" i="5" s="1"/>
  <c r="H92" i="5"/>
  <c r="H93" i="5" s="1"/>
  <c r="L93" i="5"/>
</calcChain>
</file>

<file path=xl/sharedStrings.xml><?xml version="1.0" encoding="utf-8"?>
<sst xmlns="http://schemas.openxmlformats.org/spreadsheetml/2006/main" count="139" uniqueCount="104">
  <si>
    <t>Nutzungsdauer</t>
  </si>
  <si>
    <t>Zinssatz (kalkulatorisch)</t>
  </si>
  <si>
    <t>zu beheizende Fläche</t>
  </si>
  <si>
    <t>Betriebsgebundene Kosten</t>
  </si>
  <si>
    <t>Verbrauchsgebundene Kosten</t>
  </si>
  <si>
    <t>#</t>
  </si>
  <si>
    <t>Kapitalgebundene Kosten</t>
  </si>
  <si>
    <t>• Wasseraufbereitung</t>
  </si>
  <si>
    <t>• Pauschalen</t>
  </si>
  <si>
    <t>Gebäudeheizlast / Kesselleistung:</t>
  </si>
  <si>
    <t>• Hydraulischer Abgleich (zwingend für die Förderung)</t>
  </si>
  <si>
    <t>• Heizungspumpe (optional, falls notwendig)</t>
  </si>
  <si>
    <t>• Heizungsmischer (optional, falls notwendig)</t>
  </si>
  <si>
    <t>• Mischer Stellmotor (optional, falls notwendig)</t>
  </si>
  <si>
    <t>• Zirkulationspumpe (optional, falls notwendig)</t>
  </si>
  <si>
    <t>• Absperrungen Heizung (optional, falls notwendig)</t>
  </si>
  <si>
    <t>• Absperrungen Kaltwasser (optional, falls notwendig)</t>
  </si>
  <si>
    <t>• Schlammabscheider (optional)</t>
  </si>
  <si>
    <t>• ….</t>
  </si>
  <si>
    <t>Investitionskosten für Vergleichsberechnung</t>
  </si>
  <si>
    <t>• Demontage der Altanalge (optional, falls notwendig)</t>
  </si>
  <si>
    <t>• Ausdehnungsgefäß (optional, falls notwendig)</t>
  </si>
  <si>
    <t>alle Angaben sind Bruttopreise</t>
  </si>
  <si>
    <t>Strompreis</t>
  </si>
  <si>
    <t>Wartungskosten</t>
  </si>
  <si>
    <t>ø Reparaturkosten (25 Jahre)</t>
  </si>
  <si>
    <t>ø Schornsteinfegerkosten</t>
  </si>
  <si>
    <t>Verbrauchs- und Betriebskosten</t>
  </si>
  <si>
    <t>Zusatzleistungen beim Heizungseinbau</t>
  </si>
  <si>
    <t>Zusatzleistungen bei der Heizungsoptimierung</t>
  </si>
  <si>
    <t>Förderung für Heizungsoptimierung (20%)</t>
  </si>
  <si>
    <t>Wärmebedarf pro Jahr</t>
  </si>
  <si>
    <t>Heizleistung pro Quadratmeter des Gebäudes</t>
  </si>
  <si>
    <t>Leistungspreis</t>
  </si>
  <si>
    <t>Arbeitspreis</t>
  </si>
  <si>
    <t>Jahresnutzungsgrad Wärmetauscher</t>
  </si>
  <si>
    <t>Nahwärme</t>
  </si>
  <si>
    <t>Kesseltyp:</t>
  </si>
  <si>
    <t>Einmalbeitrag bei Anschluss an die Nahwärme</t>
  </si>
  <si>
    <t>Förderung ohne / mit Heizöltausch (35% / 45%)</t>
  </si>
  <si>
    <t>Zusatzleistungen beim Nahwärmeanschluss</t>
  </si>
  <si>
    <t>Gesamtinvestition nach Förderung</t>
  </si>
  <si>
    <t>Die folgenden Kosten fallen alle 20 - 30 Jahre bei der Heizungserneuerung an.</t>
  </si>
  <si>
    <r>
      <t>Scheitholzverbrauch pro Jahr</t>
    </r>
    <r>
      <rPr>
        <sz val="11"/>
        <color rgb="FF000000"/>
        <rFont val="Arial"/>
        <family val="2"/>
      </rPr>
      <t xml:space="preserve"> (Kachelofen)</t>
    </r>
  </si>
  <si>
    <t>Jahresnutzungsgrad Kachel-/Schwedenofen</t>
  </si>
  <si>
    <t>Brennstoffkosten Kachel-/Schwedenofen</t>
  </si>
  <si>
    <t>Anteil Hartholz</t>
  </si>
  <si>
    <t>Anteil Weichholz</t>
  </si>
  <si>
    <t>Energieinhalt je Ster</t>
  </si>
  <si>
    <t>Gesamtwärmeverbrauch des Gebäudes</t>
  </si>
  <si>
    <t>Scheitholzpreis (ofenfertig)</t>
  </si>
  <si>
    <t>(nur für Zusatzleistungen)</t>
  </si>
  <si>
    <t>Förderung der Zusatzleistungen</t>
  </si>
  <si>
    <t>Einzelofen (Kachel- / Schwedenofen)</t>
  </si>
  <si>
    <t>hydraulischer Abgleich (Schätzkostenansatz)</t>
  </si>
  <si>
    <t>Zusatzleistungen bei Heizungseinbau</t>
  </si>
  <si>
    <t>• Brauchwarmwasserspeicher (optional, falls notwendig)</t>
  </si>
  <si>
    <t>Instandsetzungskosten / Reparaturen</t>
  </si>
  <si>
    <t>Inspektions- und Wartungskosten</t>
  </si>
  <si>
    <t>Investitionskosten Heizzentrale</t>
  </si>
  <si>
    <t>für Berechnung</t>
  </si>
  <si>
    <t>Gebäude</t>
  </si>
  <si>
    <t>Wärmeverbrauch (Nahwärme)</t>
  </si>
  <si>
    <t>Gesamtkosten Nahwärme</t>
  </si>
  <si>
    <t>Der Jahresnutzungsgrad einer Einzelfeuerung beträgt nach Angaben der bimomassefreundlichen "Bay. Landes-anstalt für Wald- und Forstwirtschaft" 65%. (Merkblatt 34)</t>
  </si>
  <si>
    <t>Oftmals wird der Kachel- oder Schwedenofen weniger genutzt, wenn ein Nahwärmeanschluss errichtet wurde, da kein "teures Heizöl" eingespart werden muss/soll. (Voreinstellung 1/3)</t>
  </si>
  <si>
    <t>Heizleistung der zu beheizenden Fläche</t>
  </si>
  <si>
    <t>Die folgenden Kosten fallen bei der Nahwärme einmalig an.</t>
  </si>
  <si>
    <t>Gesamtkosten der Zusatzleistungen</t>
  </si>
  <si>
    <r>
      <t>Grundpreis</t>
    </r>
    <r>
      <rPr>
        <sz val="8"/>
        <color theme="1"/>
        <rFont val="Arial"/>
        <family val="2"/>
      </rPr>
      <t xml:space="preserve"> (wenn keine Einmalzahlung geleistet wird)</t>
    </r>
  </si>
  <si>
    <t>Scheitholzkosten für Kachel-/Schwedenofen</t>
  </si>
  <si>
    <t>Wärmeerzeugung pro Jahr</t>
  </si>
  <si>
    <t>Durchschnittliche Kosten die für die Wartung angesetzt werden (z.B. Wartungsvertrag mit Heizungsbauer)</t>
  </si>
  <si>
    <t>Durchschnittliche jährliche Kosten für Reparatur der Heizungsanlage</t>
  </si>
  <si>
    <t xml:space="preserve">Kaminkehrerkosten für Kehrarbeiten, Emissionsmessung, Feuerstättenschau, Bescheide, ... </t>
  </si>
  <si>
    <t>Gesamtkosten der Wärmeversorgung</t>
  </si>
  <si>
    <t>Erst ab dem Zeitpunkt zu bezahlen, wenn der Hauptwärmeerzeuger der Zentralheizung älter als 20 Jahre ist.</t>
  </si>
  <si>
    <r>
      <t xml:space="preserve">Dies sind die jährlich zu erwartenden Kosten, wenn der Einmalbeitrag in Höhe von 9.950 € und die gegebenenfalls Gebäudeindividuellen Zusatzleistungen </t>
    </r>
    <r>
      <rPr>
        <b/>
        <sz val="10"/>
        <color rgb="FFC00000"/>
        <rFont val="Arial"/>
        <family val="2"/>
      </rPr>
      <t>nicht</t>
    </r>
    <r>
      <rPr>
        <sz val="10"/>
        <color rgb="FFC00000"/>
        <rFont val="Arial"/>
        <family val="2"/>
      </rPr>
      <t xml:space="preserve"> bezahlt wurden.</t>
    </r>
  </si>
  <si>
    <t>Eventuell notwednige Zusatzleistungen sind von jedem selbst zu begleichen.</t>
  </si>
  <si>
    <t>Dies sind die jährlich zu erwartenden Kosten, wenn der Einmalbeitrag in Höhe von 9.950 € und die gegebenenfalls gebäudeindividuellen Zusatzleistungen bezahlt wurden.</t>
  </si>
  <si>
    <t>Davon sind:</t>
  </si>
  <si>
    <t>Diese Kosten sind individuell für jedes Gebäude zu ermitteln und nicht im Wärmepreis, sowie in den angesetzten Investitionskosten für eine neue Heizölbrennwertheizung enthalten.</t>
  </si>
  <si>
    <t>Laut Angaben des biomassefreundlichen "Technologie- und Förderzeuntrum für Nachwachsende Rohstoffe" (TFZ-Merkblatt 21WBr003; Stand Januar 2021) betragen die durchschnittlichen Kosten für Hartholz 98,68 €/Ster und für Weichholz 79,38 €/Ster. Die minimalen Kosten wurden mit 72 €/Ster Hartholz bzw. 57 €/Ster Weichholz angegeben. (Hierfür sollte es auf jeden Fall jeder verkaufen können, wenn er den gerne Holz macht.) (Voreinstellung: Mittelwerte der gennanten Holzpreise)</t>
  </si>
  <si>
    <t>Leistungsverzeichnisse: Scheitholzkessel</t>
  </si>
  <si>
    <t>• Wärmeerzeugungsanlage (Scheitholzkessel)</t>
  </si>
  <si>
    <t>• Pumpen und Armaturen</t>
  </si>
  <si>
    <t>• Pufferspeicher</t>
  </si>
  <si>
    <t>Stromverbrauch pro Jahr</t>
  </si>
  <si>
    <t>COP  / Wirkungsgrad</t>
  </si>
  <si>
    <t>Grundpreis</t>
  </si>
  <si>
    <t>Anteil Hochtarif</t>
  </si>
  <si>
    <t>Strompreis Hochtarif</t>
  </si>
  <si>
    <t>Anteil Niedertarif</t>
  </si>
  <si>
    <t>Strompreis Niedertarif</t>
  </si>
  <si>
    <t>Wärmepumpe</t>
  </si>
  <si>
    <t>Stromkosten für Wärmepumpe</t>
  </si>
  <si>
    <t>derzeitige Wärmepumpe</t>
  </si>
  <si>
    <t>zukünftige Wärmepumpe</t>
  </si>
  <si>
    <t>Vergleichsberechnung Wärmepumpe / Nahwärme</t>
  </si>
  <si>
    <r>
      <t>Wärmelieferung pro Jahr</t>
    </r>
    <r>
      <rPr>
        <sz val="11"/>
        <color rgb="FF000000"/>
        <rFont val="Arial"/>
        <family val="2"/>
      </rPr>
      <t xml:space="preserve"> (Ersatz Wärmepumpe /Scheitholz)</t>
    </r>
  </si>
  <si>
    <r>
      <t>Wärmebezugskosten</t>
    </r>
    <r>
      <rPr>
        <sz val="11"/>
        <color rgb="FF000000"/>
        <rFont val="Arial"/>
        <family val="2"/>
      </rPr>
      <t xml:space="preserve"> (Ersatz Wärmepumpe / Scheitholz)</t>
    </r>
  </si>
  <si>
    <t>Ersatz der Wärmepumpe</t>
  </si>
  <si>
    <t>Ersatz des Einzelofens</t>
  </si>
  <si>
    <t>Investitionskosten in neue Wärmepumpe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</si>
</sst>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#,##0.00&quot; &quot;[$€-407];[Red]&quot;-&quot;#,##0.00&quot; &quot;[$€-407]"/>
    <numFmt numFmtId="165" formatCode="0\ &quot;kW&quot;"/>
    <numFmt numFmtId="166" formatCode="#,##0\ &quot;€&quot;"/>
    <numFmt numFmtId="167" formatCode="#,##0\ &quot;kWh&quot;"/>
    <numFmt numFmtId="168" formatCode="0.0%"/>
    <numFmt numFmtId="169" formatCode="#,##0\ &quot;€/a&quot;"/>
    <numFmt numFmtId="170" formatCode="0.00\ &quot;Ct/kWh&quot;"/>
    <numFmt numFmtId="171" formatCode="0\ &quot;Jahre&quot;"/>
    <numFmt numFmtId="172" formatCode="#,##0\ &quot;qm&quot;"/>
    <numFmt numFmtId="173" formatCode="#,##0.00\ &quot;€&quot;"/>
    <numFmt numFmtId="174" formatCode="#,##0.00\ &quot;€/a&quot;"/>
    <numFmt numFmtId="175" formatCode="#,##0\ &quot;kW&quot;"/>
    <numFmt numFmtId="176" formatCode="0\ &quot;W/qm&quot;"/>
    <numFmt numFmtId="177" formatCode="#,##0\ &quot;€/kW&quot;"/>
    <numFmt numFmtId="178" formatCode="#,##0.00\ &quot;Ct/kWh&quot;"/>
    <numFmt numFmtId="179" formatCode="#,##0.00\ &quot;kWh&quot;"/>
    <numFmt numFmtId="180" formatCode="#,##0.0\ &quot;Ster&quot;"/>
    <numFmt numFmtId="181" formatCode="0.00\ &quot;€/Ster&quot;"/>
    <numFmt numFmtId="182" formatCode="#,##0\ &quot;kWh/Rm&quot;"/>
    <numFmt numFmtId="183" formatCode="#,##0\ &quot;kWh/Ster&quot;"/>
    <numFmt numFmtId="184" formatCode="#,##0.0\ &quot;kW&quot;"/>
    <numFmt numFmtId="185" formatCode="0.00\ &quot;€/a&quot;"/>
    <numFmt numFmtId="186" formatCode="#,##0.00_ ;\-#,##0.00\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FF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2" tint="-0.74999237037263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sz val="11"/>
      <color rgb="FFC00000"/>
      <name val="Arial"/>
      <family val="2"/>
    </font>
    <font>
      <b/>
      <u/>
      <sz val="11"/>
      <color rgb="FF800000"/>
      <name val="Arial"/>
      <family val="2"/>
    </font>
    <font>
      <b/>
      <sz val="18"/>
      <name val="Arial"/>
      <family val="2"/>
    </font>
    <font>
      <i/>
      <sz val="10"/>
      <color theme="1"/>
      <name val="Arial"/>
      <family val="2"/>
    </font>
    <font>
      <sz val="10"/>
      <color rgb="FFC00000"/>
      <name val="Arial"/>
      <family val="2"/>
    </font>
    <font>
      <sz val="7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499984740745262"/>
        <bgColor rgb="FFAECF00"/>
      </patternFill>
    </fill>
    <fill>
      <patternFill patternType="solid">
        <fgColor rgb="FF800000"/>
        <bgColor rgb="FFAECF00"/>
      </patternFill>
    </fill>
    <fill>
      <patternFill patternType="solid">
        <fgColor rgb="FF8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/>
    <xf numFmtId="168" fontId="7" fillId="0" borderId="0" xfId="1" applyNumberFormat="1" applyFont="1" applyFill="1" applyBorder="1" applyAlignment="1">
      <alignment horizontal="center"/>
    </xf>
    <xf numFmtId="0" fontId="12" fillId="0" borderId="0" xfId="2" applyFont="1"/>
    <xf numFmtId="0" fontId="7" fillId="0" borderId="0" xfId="2" applyFont="1"/>
    <xf numFmtId="0" fontId="11" fillId="0" borderId="0" xfId="0" applyFont="1" applyAlignment="1">
      <alignment vertical="center"/>
    </xf>
    <xf numFmtId="0" fontId="15" fillId="0" borderId="0" xfId="2" applyFont="1"/>
    <xf numFmtId="0" fontId="8" fillId="0" borderId="0" xfId="0" applyFont="1"/>
    <xf numFmtId="0" fontId="8" fillId="0" borderId="0" xfId="0" applyFont="1" applyAlignment="1">
      <alignment vertical="center"/>
    </xf>
    <xf numFmtId="4" fontId="8" fillId="0" borderId="10" xfId="0" applyNumberFormat="1" applyFont="1" applyFill="1" applyBorder="1" applyAlignment="1">
      <alignment horizontal="left" vertical="center" indent="1"/>
    </xf>
    <xf numFmtId="173" fontId="8" fillId="0" borderId="1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left" vertical="center" indent="1"/>
    </xf>
    <xf numFmtId="173" fontId="8" fillId="0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3" fontId="8" fillId="0" borderId="0" xfId="0" applyNumberFormat="1" applyFont="1" applyFill="1" applyAlignment="1">
      <alignment vertical="center"/>
    </xf>
    <xf numFmtId="173" fontId="8" fillId="0" borderId="11" xfId="0" applyNumberFormat="1" applyFont="1" applyFill="1" applyBorder="1" applyAlignment="1">
      <alignment vertical="center"/>
    </xf>
    <xf numFmtId="173" fontId="8" fillId="0" borderId="9" xfId="0" applyNumberFormat="1" applyFont="1" applyFill="1" applyBorder="1" applyAlignment="1">
      <alignment vertical="center"/>
    </xf>
    <xf numFmtId="0" fontId="5" fillId="0" borderId="12" xfId="2" applyFont="1" applyBorder="1"/>
    <xf numFmtId="165" fontId="7" fillId="0" borderId="0" xfId="2" applyNumberFormat="1" applyFont="1" applyAlignment="1">
      <alignment horizontal="center"/>
    </xf>
    <xf numFmtId="0" fontId="5" fillId="0" borderId="27" xfId="2" applyFont="1" applyBorder="1"/>
    <xf numFmtId="0" fontId="19" fillId="0" borderId="0" xfId="2" applyFont="1" applyAlignment="1">
      <alignment vertical="center"/>
    </xf>
    <xf numFmtId="0" fontId="5" fillId="0" borderId="0" xfId="2" applyFont="1"/>
    <xf numFmtId="0" fontId="14" fillId="0" borderId="0" xfId="2" applyFont="1" applyAlignment="1">
      <alignment horizontal="left" indent="1"/>
    </xf>
    <xf numFmtId="170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18" xfId="2" applyFont="1" applyBorder="1" applyAlignment="1">
      <alignment horizontal="center"/>
    </xf>
    <xf numFmtId="0" fontId="5" fillId="0" borderId="27" xfId="2" applyFont="1" applyBorder="1" applyAlignment="1">
      <alignment vertical="center"/>
    </xf>
    <xf numFmtId="165" fontId="13" fillId="0" borderId="12" xfId="2" applyNumberFormat="1" applyFont="1" applyFill="1" applyBorder="1" applyAlignment="1">
      <alignment horizontal="center"/>
    </xf>
    <xf numFmtId="179" fontId="7" fillId="0" borderId="14" xfId="2" applyNumberFormat="1" applyFont="1" applyFill="1" applyBorder="1" applyAlignment="1">
      <alignment horizontal="center"/>
    </xf>
    <xf numFmtId="179" fontId="14" fillId="0" borderId="14" xfId="2" applyNumberFormat="1" applyFont="1" applyFill="1" applyBorder="1" applyAlignment="1">
      <alignment horizontal="center"/>
    </xf>
    <xf numFmtId="0" fontId="5" fillId="0" borderId="13" xfId="2" applyFont="1" applyBorder="1" applyAlignment="1">
      <alignment horizontal="left" vertical="center"/>
    </xf>
    <xf numFmtId="167" fontId="13" fillId="0" borderId="13" xfId="2" applyNumberFormat="1" applyFont="1" applyFill="1" applyBorder="1" applyAlignment="1">
      <alignment horizontal="center"/>
    </xf>
    <xf numFmtId="169" fontId="13" fillId="0" borderId="12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71" fontId="7" fillId="0" borderId="0" xfId="2" applyNumberFormat="1" applyFont="1" applyFill="1" applyBorder="1" applyAlignment="1">
      <alignment horizontal="center"/>
    </xf>
    <xf numFmtId="169" fontId="6" fillId="0" borderId="0" xfId="2" applyNumberFormat="1" applyFont="1" applyFill="1" applyBorder="1" applyAlignment="1">
      <alignment horizontal="center"/>
    </xf>
    <xf numFmtId="167" fontId="13" fillId="0" borderId="27" xfId="2" applyNumberFormat="1" applyFont="1" applyFill="1" applyBorder="1" applyAlignment="1">
      <alignment horizontal="center"/>
    </xf>
    <xf numFmtId="176" fontId="14" fillId="0" borderId="13" xfId="2" applyNumberFormat="1" applyFont="1" applyFill="1" applyBorder="1" applyAlignment="1">
      <alignment horizontal="center"/>
    </xf>
    <xf numFmtId="172" fontId="13" fillId="0" borderId="27" xfId="2" applyNumberFormat="1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/>
    </xf>
    <xf numFmtId="0" fontId="7" fillId="0" borderId="0" xfId="2" applyFont="1" applyFill="1" applyBorder="1"/>
    <xf numFmtId="0" fontId="19" fillId="0" borderId="0" xfId="2" applyFont="1" applyFill="1" applyBorder="1" applyAlignment="1">
      <alignment vertical="center"/>
    </xf>
    <xf numFmtId="0" fontId="5" fillId="0" borderId="0" xfId="2" applyFont="1" applyFill="1" applyBorder="1"/>
    <xf numFmtId="170" fontId="7" fillId="0" borderId="0" xfId="2" applyNumberFormat="1" applyFont="1" applyFill="1" applyBorder="1" applyAlignment="1">
      <alignment horizontal="center"/>
    </xf>
    <xf numFmtId="0" fontId="15" fillId="0" borderId="0" xfId="2" applyFont="1" applyFill="1" applyBorder="1"/>
    <xf numFmtId="168" fontId="14" fillId="0" borderId="12" xfId="1" applyNumberFormat="1" applyFont="1" applyFill="1" applyBorder="1" applyAlignment="1">
      <alignment horizontal="center"/>
    </xf>
    <xf numFmtId="0" fontId="7" fillId="0" borderId="31" xfId="2" applyFont="1" applyBorder="1"/>
    <xf numFmtId="0" fontId="19" fillId="0" borderId="31" xfId="2" applyFont="1" applyBorder="1" applyAlignment="1">
      <alignment vertical="center"/>
    </xf>
    <xf numFmtId="0" fontId="5" fillId="0" borderId="31" xfId="2" applyFont="1" applyBorder="1"/>
    <xf numFmtId="0" fontId="15" fillId="0" borderId="31" xfId="2" applyFont="1" applyBorder="1"/>
    <xf numFmtId="171" fontId="14" fillId="0" borderId="12" xfId="2" applyNumberFormat="1" applyFont="1" applyFill="1" applyBorder="1" applyAlignment="1">
      <alignment horizontal="center"/>
    </xf>
    <xf numFmtId="168" fontId="14" fillId="0" borderId="13" xfId="1" applyNumberFormat="1" applyFont="1" applyFill="1" applyBorder="1" applyAlignment="1">
      <alignment horizontal="center"/>
    </xf>
    <xf numFmtId="166" fontId="13" fillId="0" borderId="12" xfId="2" applyNumberFormat="1" applyFont="1" applyFill="1" applyBorder="1" applyAlignment="1">
      <alignment horizontal="center"/>
    </xf>
    <xf numFmtId="166" fontId="13" fillId="0" borderId="13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169" fontId="6" fillId="3" borderId="12" xfId="2" applyNumberFormat="1" applyFont="1" applyFill="1" applyBorder="1" applyAlignment="1">
      <alignment horizontal="center"/>
    </xf>
    <xf numFmtId="178" fontId="6" fillId="3" borderId="13" xfId="2" applyNumberFormat="1" applyFont="1" applyFill="1" applyBorder="1" applyAlignment="1">
      <alignment horizontal="center"/>
    </xf>
    <xf numFmtId="0" fontId="7" fillId="0" borderId="0" xfId="2" applyFont="1" applyBorder="1"/>
    <xf numFmtId="0" fontId="6" fillId="0" borderId="18" xfId="0" applyFont="1" applyFill="1" applyBorder="1" applyAlignment="1">
      <alignment horizontal="left" vertical="center"/>
    </xf>
    <xf numFmtId="178" fontId="6" fillId="0" borderId="18" xfId="2" applyNumberFormat="1" applyFont="1" applyFill="1" applyBorder="1" applyAlignment="1">
      <alignment horizontal="center"/>
    </xf>
    <xf numFmtId="169" fontId="6" fillId="6" borderId="12" xfId="2" applyNumberFormat="1" applyFont="1" applyFill="1" applyBorder="1" applyAlignment="1">
      <alignment horizontal="center"/>
    </xf>
    <xf numFmtId="178" fontId="6" fillId="6" borderId="13" xfId="2" applyNumberFormat="1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/>
    <xf numFmtId="172" fontId="2" fillId="0" borderId="0" xfId="2" applyNumberFormat="1" applyFont="1"/>
    <xf numFmtId="172" fontId="2" fillId="0" borderId="31" xfId="2" applyNumberFormat="1" applyFont="1" applyBorder="1"/>
    <xf numFmtId="172" fontId="2" fillId="0" borderId="0" xfId="2" applyNumberFormat="1" applyFont="1" applyFill="1" applyBorder="1"/>
    <xf numFmtId="0" fontId="2" fillId="0" borderId="31" xfId="2" applyFont="1" applyBorder="1"/>
    <xf numFmtId="0" fontId="2" fillId="0" borderId="0" xfId="2" applyFont="1" applyFill="1" applyBorder="1"/>
    <xf numFmtId="0" fontId="2" fillId="0" borderId="13" xfId="2" applyFont="1" applyBorder="1"/>
    <xf numFmtId="176" fontId="2" fillId="0" borderId="0" xfId="2" applyNumberFormat="1" applyFont="1" applyFill="1" applyBorder="1"/>
    <xf numFmtId="0" fontId="2" fillId="0" borderId="12" xfId="2" applyFont="1" applyBorder="1" applyAlignment="1">
      <alignment horizontal="left"/>
    </xf>
    <xf numFmtId="0" fontId="2" fillId="0" borderId="14" xfId="2" applyFont="1" applyBorder="1"/>
    <xf numFmtId="0" fontId="8" fillId="0" borderId="31" xfId="0" applyFont="1" applyBorder="1"/>
    <xf numFmtId="0" fontId="8" fillId="0" borderId="0" xfId="0" applyFont="1" applyFill="1" applyBorder="1"/>
    <xf numFmtId="0" fontId="2" fillId="0" borderId="18" xfId="2" applyFont="1" applyFill="1" applyBorder="1"/>
    <xf numFmtId="172" fontId="2" fillId="0" borderId="0" xfId="2" applyNumberFormat="1" applyFont="1" applyFill="1" applyBorder="1" applyAlignment="1"/>
    <xf numFmtId="0" fontId="2" fillId="0" borderId="0" xfId="2" applyFont="1" applyBorder="1"/>
    <xf numFmtId="0" fontId="2" fillId="0" borderId="12" xfId="2" applyFont="1" applyBorder="1"/>
    <xf numFmtId="0" fontId="8" fillId="0" borderId="0" xfId="0" applyFont="1" applyBorder="1"/>
    <xf numFmtId="0" fontId="2" fillId="0" borderId="18" xfId="2" applyFont="1" applyBorder="1"/>
    <xf numFmtId="169" fontId="8" fillId="0" borderId="0" xfId="0" applyNumberFormat="1" applyFont="1"/>
    <xf numFmtId="165" fontId="8" fillId="0" borderId="0" xfId="0" applyNumberFormat="1" applyFont="1"/>
    <xf numFmtId="9" fontId="8" fillId="0" borderId="0" xfId="1" applyFont="1"/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horizontal="center" vertical="center" wrapText="1"/>
    </xf>
    <xf numFmtId="0" fontId="2" fillId="0" borderId="18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6" fillId="5" borderId="27" xfId="0" applyFont="1" applyFill="1" applyBorder="1" applyAlignment="1">
      <alignment horizontal="left" vertical="center"/>
    </xf>
    <xf numFmtId="169" fontId="6" fillId="6" borderId="27" xfId="2" applyNumberFormat="1" applyFont="1" applyFill="1" applyBorder="1" applyAlignment="1">
      <alignment horizontal="center"/>
    </xf>
    <xf numFmtId="169" fontId="6" fillId="3" borderId="27" xfId="2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left" vertical="center"/>
    </xf>
    <xf numFmtId="0" fontId="2" fillId="0" borderId="28" xfId="2" applyFont="1" applyBorder="1"/>
    <xf numFmtId="9" fontId="14" fillId="0" borderId="28" xfId="1" applyFont="1" applyFill="1" applyBorder="1" applyAlignment="1">
      <alignment horizontal="center"/>
    </xf>
    <xf numFmtId="166" fontId="13" fillId="0" borderId="14" xfId="2" applyNumberFormat="1" applyFont="1" applyFill="1" applyBorder="1" applyAlignment="1">
      <alignment horizontal="center"/>
    </xf>
    <xf numFmtId="166" fontId="13" fillId="0" borderId="27" xfId="2" applyNumberFormat="1" applyFont="1" applyFill="1" applyBorder="1" applyAlignment="1">
      <alignment horizontal="center"/>
    </xf>
    <xf numFmtId="0" fontId="14" fillId="0" borderId="18" xfId="2" applyFont="1" applyBorder="1" applyAlignment="1">
      <alignment horizontal="left" indent="1"/>
    </xf>
    <xf numFmtId="170" fontId="7" fillId="0" borderId="18" xfId="2" applyNumberFormat="1" applyFont="1" applyBorder="1" applyAlignment="1">
      <alignment horizontal="center"/>
    </xf>
    <xf numFmtId="0" fontId="2" fillId="0" borderId="13" xfId="2" applyFont="1" applyBorder="1" applyAlignment="1">
      <alignment vertical="center"/>
    </xf>
    <xf numFmtId="181" fontId="14" fillId="0" borderId="13" xfId="2" applyNumberFormat="1" applyFont="1" applyFill="1" applyBorder="1" applyAlignment="1">
      <alignment horizontal="center"/>
    </xf>
    <xf numFmtId="180" fontId="13" fillId="0" borderId="12" xfId="2" applyNumberFormat="1" applyFont="1" applyFill="1" applyBorder="1" applyAlignment="1">
      <alignment horizontal="center"/>
    </xf>
    <xf numFmtId="9" fontId="14" fillId="0" borderId="42" xfId="1" applyFont="1" applyFill="1" applyBorder="1" applyAlignment="1">
      <alignment horizontal="center"/>
    </xf>
    <xf numFmtId="9" fontId="14" fillId="0" borderId="13" xfId="1" applyFont="1" applyFill="1" applyBorder="1" applyAlignment="1">
      <alignment horizontal="center"/>
    </xf>
    <xf numFmtId="0" fontId="2" fillId="0" borderId="14" xfId="2" applyFont="1" applyBorder="1" applyAlignment="1">
      <alignment horizontal="left" indent="1"/>
    </xf>
    <xf numFmtId="0" fontId="2" fillId="0" borderId="13" xfId="2" applyFont="1" applyBorder="1" applyAlignment="1">
      <alignment horizontal="left" indent="1"/>
    </xf>
    <xf numFmtId="183" fontId="14" fillId="0" borderId="14" xfId="2" applyNumberFormat="1" applyFont="1" applyFill="1" applyBorder="1" applyAlignment="1">
      <alignment horizontal="center"/>
    </xf>
    <xf numFmtId="0" fontId="18" fillId="6" borderId="12" xfId="2" applyFont="1" applyFill="1" applyBorder="1" applyAlignment="1">
      <alignment horizontal="center" vertical="center"/>
    </xf>
    <xf numFmtId="0" fontId="23" fillId="0" borderId="0" xfId="2" applyFont="1" applyBorder="1" applyAlignment="1">
      <alignment vertical="center"/>
    </xf>
    <xf numFmtId="180" fontId="13" fillId="7" borderId="12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left" indent="1"/>
    </xf>
    <xf numFmtId="170" fontId="7" fillId="0" borderId="0" xfId="2" applyNumberFormat="1" applyFont="1" applyBorder="1" applyAlignment="1">
      <alignment horizontal="center"/>
    </xf>
    <xf numFmtId="181" fontId="14" fillId="0" borderId="18" xfId="2" applyNumberFormat="1" applyFont="1" applyFill="1" applyBorder="1" applyAlignment="1">
      <alignment horizontal="center"/>
    </xf>
    <xf numFmtId="181" fontId="7" fillId="0" borderId="18" xfId="2" applyNumberFormat="1" applyFont="1" applyFill="1" applyBorder="1" applyAlignment="1">
      <alignment horizontal="center"/>
    </xf>
    <xf numFmtId="0" fontId="13" fillId="0" borderId="27" xfId="2" applyFont="1" applyBorder="1" applyAlignment="1"/>
    <xf numFmtId="0" fontId="2" fillId="2" borderId="32" xfId="2" applyFont="1" applyFill="1" applyBorder="1" applyAlignment="1"/>
    <xf numFmtId="0" fontId="2" fillId="2" borderId="25" xfId="2" applyFont="1" applyFill="1" applyBorder="1" applyAlignment="1"/>
    <xf numFmtId="0" fontId="25" fillId="0" borderId="0" xfId="2" applyFont="1" applyAlignment="1">
      <alignment vertical="center"/>
    </xf>
    <xf numFmtId="166" fontId="6" fillId="0" borderId="18" xfId="2" applyNumberFormat="1" applyFont="1" applyFill="1" applyBorder="1" applyAlignment="1">
      <alignment horizontal="center"/>
    </xf>
    <xf numFmtId="9" fontId="14" fillId="7" borderId="28" xfId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left" wrapText="1"/>
    </xf>
    <xf numFmtId="0" fontId="27" fillId="0" borderId="0" xfId="0" applyFont="1" applyAlignment="1">
      <alignment horizontal="left" vertical="center"/>
    </xf>
    <xf numFmtId="166" fontId="13" fillId="8" borderId="14" xfId="2" applyNumberFormat="1" applyFont="1" applyFill="1" applyBorder="1" applyAlignment="1">
      <alignment horizontal="center"/>
    </xf>
    <xf numFmtId="168" fontId="14" fillId="10" borderId="12" xfId="1" applyNumberFormat="1" applyFont="1" applyFill="1" applyBorder="1" applyAlignment="1">
      <alignment horizontal="center"/>
    </xf>
    <xf numFmtId="180" fontId="13" fillId="10" borderId="12" xfId="2" applyNumberFormat="1" applyFont="1" applyFill="1" applyBorder="1" applyAlignment="1">
      <alignment horizontal="center"/>
    </xf>
    <xf numFmtId="9" fontId="14" fillId="10" borderId="14" xfId="1" applyFont="1" applyFill="1" applyBorder="1" applyAlignment="1">
      <alignment horizontal="center"/>
    </xf>
    <xf numFmtId="181" fontId="14" fillId="10" borderId="13" xfId="2" applyNumberFormat="1" applyFont="1" applyFill="1" applyBorder="1" applyAlignment="1">
      <alignment horizontal="center"/>
    </xf>
    <xf numFmtId="169" fontId="14" fillId="10" borderId="12" xfId="2" applyNumberFormat="1" applyFont="1" applyFill="1" applyBorder="1" applyAlignment="1">
      <alignment horizontal="center"/>
    </xf>
    <xf numFmtId="166" fontId="13" fillId="10" borderId="12" xfId="2" applyNumberFormat="1" applyFont="1" applyFill="1" applyBorder="1" applyAlignment="1">
      <alignment horizontal="center"/>
    </xf>
    <xf numFmtId="166" fontId="13" fillId="10" borderId="14" xfId="2" applyNumberFormat="1" applyFont="1" applyFill="1" applyBorder="1" applyAlignment="1">
      <alignment horizontal="center"/>
    </xf>
    <xf numFmtId="166" fontId="13" fillId="10" borderId="13" xfId="2" applyNumberFormat="1" applyFont="1" applyFill="1" applyBorder="1" applyAlignment="1">
      <alignment horizontal="center"/>
    </xf>
    <xf numFmtId="171" fontId="14" fillId="10" borderId="12" xfId="2" applyNumberFormat="1" applyFont="1" applyFill="1" applyBorder="1" applyAlignment="1">
      <alignment horizontal="center"/>
    </xf>
    <xf numFmtId="168" fontId="14" fillId="10" borderId="13" xfId="1" applyNumberFormat="1" applyFont="1" applyFill="1" applyBorder="1" applyAlignment="1">
      <alignment horizontal="center"/>
    </xf>
    <xf numFmtId="173" fontId="17" fillId="0" borderId="0" xfId="0" applyNumberFormat="1" applyFont="1"/>
    <xf numFmtId="4" fontId="6" fillId="6" borderId="4" xfId="0" applyNumberFormat="1" applyFont="1" applyFill="1" applyBorder="1" applyAlignment="1">
      <alignment vertical="center"/>
    </xf>
    <xf numFmtId="175" fontId="6" fillId="5" borderId="5" xfId="0" applyNumberFormat="1" applyFont="1" applyFill="1" applyBorder="1" applyAlignment="1">
      <alignment horizontal="right" vertical="center"/>
    </xf>
    <xf numFmtId="175" fontId="6" fillId="5" borderId="6" xfId="0" applyNumberFormat="1" applyFont="1" applyFill="1" applyBorder="1" applyAlignment="1">
      <alignment horizontal="right" vertical="center"/>
    </xf>
    <xf numFmtId="174" fontId="6" fillId="6" borderId="1" xfId="0" applyNumberFormat="1" applyFont="1" applyFill="1" applyBorder="1" applyAlignment="1">
      <alignment vertical="center"/>
    </xf>
    <xf numFmtId="174" fontId="6" fillId="6" borderId="11" xfId="0" applyNumberFormat="1" applyFont="1" applyFill="1" applyBorder="1" applyAlignment="1">
      <alignment vertical="center"/>
    </xf>
    <xf numFmtId="10" fontId="6" fillId="6" borderId="1" xfId="1" applyNumberFormat="1" applyFont="1" applyFill="1" applyBorder="1" applyAlignment="1">
      <alignment vertical="center"/>
    </xf>
    <xf numFmtId="10" fontId="6" fillId="6" borderId="11" xfId="1" applyNumberFormat="1" applyFont="1" applyFill="1" applyBorder="1" applyAlignment="1">
      <alignment vertical="center"/>
    </xf>
    <xf numFmtId="4" fontId="6" fillId="6" borderId="10" xfId="0" applyNumberFormat="1" applyFont="1" applyFill="1" applyBorder="1" applyAlignment="1">
      <alignment vertical="center"/>
    </xf>
    <xf numFmtId="173" fontId="6" fillId="6" borderId="1" xfId="0" applyNumberFormat="1" applyFont="1" applyFill="1" applyBorder="1" applyAlignment="1">
      <alignment vertical="center"/>
    </xf>
    <xf numFmtId="173" fontId="6" fillId="6" borderId="11" xfId="0" applyNumberFormat="1" applyFont="1" applyFill="1" applyBorder="1" applyAlignment="1">
      <alignment vertical="center"/>
    </xf>
    <xf numFmtId="177" fontId="6" fillId="6" borderId="8" xfId="0" applyNumberFormat="1" applyFont="1" applyFill="1" applyBorder="1" applyAlignment="1">
      <alignment vertical="center"/>
    </xf>
    <xf numFmtId="177" fontId="6" fillId="6" borderId="9" xfId="0" applyNumberFormat="1" applyFont="1" applyFill="1" applyBorder="1" applyAlignment="1">
      <alignment vertical="center"/>
    </xf>
    <xf numFmtId="4" fontId="6" fillId="6" borderId="20" xfId="0" applyNumberFormat="1" applyFont="1" applyFill="1" applyBorder="1" applyAlignment="1">
      <alignment vertical="center"/>
    </xf>
    <xf numFmtId="175" fontId="6" fillId="5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0" xfId="0" applyFont="1"/>
    <xf numFmtId="169" fontId="8" fillId="7" borderId="12" xfId="0" applyNumberFormat="1" applyFont="1" applyFill="1" applyBorder="1"/>
    <xf numFmtId="169" fontId="8" fillId="7" borderId="14" xfId="0" applyNumberFormat="1" applyFont="1" applyFill="1" applyBorder="1"/>
    <xf numFmtId="0" fontId="8" fillId="7" borderId="12" xfId="0" applyFont="1" applyFill="1" applyBorder="1"/>
    <xf numFmtId="0" fontId="8" fillId="7" borderId="14" xfId="0" applyFont="1" applyFill="1" applyBorder="1"/>
    <xf numFmtId="169" fontId="8" fillId="7" borderId="28" xfId="0" applyNumberFormat="1" applyFont="1" applyFill="1" applyBorder="1"/>
    <xf numFmtId="169" fontId="6" fillId="3" borderId="27" xfId="0" applyNumberFormat="1" applyFont="1" applyFill="1" applyBorder="1"/>
    <xf numFmtId="0" fontId="8" fillId="0" borderId="0" xfId="0" applyFont="1" applyBorder="1" applyAlignment="1"/>
    <xf numFmtId="0" fontId="33" fillId="0" borderId="0" xfId="0" applyFont="1"/>
    <xf numFmtId="169" fontId="35" fillId="3" borderId="27" xfId="0" applyNumberFormat="1" applyFont="1" applyFill="1" applyBorder="1"/>
    <xf numFmtId="166" fontId="6" fillId="6" borderId="21" xfId="0" applyNumberFormat="1" applyFont="1" applyFill="1" applyBorder="1" applyAlignment="1">
      <alignment vertical="center"/>
    </xf>
    <xf numFmtId="184" fontId="6" fillId="5" borderId="6" xfId="0" applyNumberFormat="1" applyFont="1" applyFill="1" applyBorder="1" applyAlignment="1">
      <alignment horizontal="center" vertical="center"/>
    </xf>
    <xf numFmtId="174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173" fontId="6" fillId="6" borderId="11" xfId="0" applyNumberFormat="1" applyFont="1" applyFill="1" applyBorder="1" applyAlignment="1">
      <alignment horizontal="center" vertical="center"/>
    </xf>
    <xf numFmtId="177" fontId="6" fillId="6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167" fontId="13" fillId="0" borderId="0" xfId="2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182" fontId="17" fillId="0" borderId="0" xfId="0" applyNumberFormat="1" applyFont="1" applyBorder="1"/>
    <xf numFmtId="170" fontId="14" fillId="0" borderId="0" xfId="2" applyNumberFormat="1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31" fillId="0" borderId="0" xfId="13" applyFont="1" applyBorder="1" applyAlignment="1">
      <alignment horizontal="left"/>
    </xf>
    <xf numFmtId="0" fontId="32" fillId="0" borderId="0" xfId="13" applyFont="1" applyBorder="1" applyAlignment="1">
      <alignment horizontal="left"/>
    </xf>
    <xf numFmtId="165" fontId="13" fillId="0" borderId="4" xfId="2" applyNumberFormat="1" applyFont="1" applyFill="1" applyBorder="1" applyAlignment="1">
      <alignment horizontal="center"/>
    </xf>
    <xf numFmtId="176" fontId="14" fillId="10" borderId="7" xfId="2" applyNumberFormat="1" applyFont="1" applyFill="1" applyBorder="1" applyAlignment="1">
      <alignment horizontal="center"/>
    </xf>
    <xf numFmtId="169" fontId="14" fillId="10" borderId="13" xfId="2" applyNumberFormat="1" applyFont="1" applyFill="1" applyBorder="1" applyAlignment="1">
      <alignment horizontal="center"/>
    </xf>
    <xf numFmtId="169" fontId="14" fillId="10" borderId="14" xfId="2" applyNumberFormat="1" applyFont="1" applyFill="1" applyBorder="1" applyAlignment="1">
      <alignment horizontal="center"/>
    </xf>
    <xf numFmtId="169" fontId="6" fillId="6" borderId="4" xfId="2" applyNumberFormat="1" applyFont="1" applyFill="1" applyBorder="1" applyAlignment="1"/>
    <xf numFmtId="178" fontId="6" fillId="6" borderId="7" xfId="2" applyNumberFormat="1" applyFont="1" applyFill="1" applyBorder="1" applyAlignment="1"/>
    <xf numFmtId="169" fontId="6" fillId="6" borderId="22" xfId="2" applyNumberFormat="1" applyFont="1" applyFill="1" applyBorder="1" applyAlignment="1"/>
    <xf numFmtId="172" fontId="13" fillId="10" borderId="27" xfId="2" applyNumberFormat="1" applyFont="1" applyFill="1" applyBorder="1" applyAlignment="1">
      <alignment horizontal="center"/>
    </xf>
    <xf numFmtId="0" fontId="5" fillId="0" borderId="1" xfId="2" applyFont="1" applyBorder="1"/>
    <xf numFmtId="0" fontId="14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vertical="center"/>
    </xf>
    <xf numFmtId="9" fontId="14" fillId="10" borderId="1" xfId="1" applyFont="1" applyFill="1" applyBorder="1" applyAlignment="1">
      <alignment horizontal="center"/>
    </xf>
    <xf numFmtId="169" fontId="13" fillId="0" borderId="1" xfId="2" applyNumberFormat="1" applyFont="1" applyFill="1" applyBorder="1" applyAlignment="1">
      <alignment horizontal="center"/>
    </xf>
    <xf numFmtId="170" fontId="14" fillId="10" borderId="1" xfId="0" applyNumberFormat="1" applyFont="1" applyFill="1" applyBorder="1" applyAlignment="1"/>
    <xf numFmtId="167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horizontal="left"/>
    </xf>
    <xf numFmtId="0" fontId="28" fillId="0" borderId="0" xfId="0" applyFont="1" applyBorder="1" applyAlignment="1">
      <alignment horizontal="left" vertical="center" wrapText="1"/>
    </xf>
    <xf numFmtId="9" fontId="14" fillId="0" borderId="1" xfId="1" applyFont="1" applyFill="1" applyBorder="1" applyAlignment="1">
      <alignment horizontal="center"/>
    </xf>
    <xf numFmtId="185" fontId="14" fillId="10" borderId="1" xfId="0" applyNumberFormat="1" applyFont="1" applyFill="1" applyBorder="1" applyAlignment="1">
      <alignment horizontal="center"/>
    </xf>
    <xf numFmtId="170" fontId="14" fillId="0" borderId="1" xfId="0" applyNumberFormat="1" applyFont="1" applyFill="1" applyBorder="1" applyAlignment="1"/>
    <xf numFmtId="0" fontId="14" fillId="0" borderId="1" xfId="2" applyFont="1" applyBorder="1" applyAlignment="1">
      <alignment horizontal="left" indent="2"/>
    </xf>
    <xf numFmtId="167" fontId="14" fillId="10" borderId="1" xfId="2" applyNumberFormat="1" applyFont="1" applyFill="1" applyBorder="1" applyAlignment="1">
      <alignment horizontal="center"/>
    </xf>
    <xf numFmtId="186" fontId="14" fillId="10" borderId="1" xfId="14" applyNumberFormat="1" applyFont="1" applyFill="1" applyBorder="1" applyAlignment="1">
      <alignment horizontal="center" vertical="center"/>
    </xf>
    <xf numFmtId="0" fontId="8" fillId="0" borderId="18" xfId="0" applyFont="1" applyBorder="1"/>
    <xf numFmtId="0" fontId="5" fillId="0" borderId="0" xfId="2" applyFont="1" applyBorder="1"/>
    <xf numFmtId="0" fontId="14" fillId="0" borderId="18" xfId="2" applyFont="1" applyBorder="1" applyAlignment="1">
      <alignment horizontal="left" indent="2"/>
    </xf>
    <xf numFmtId="170" fontId="14" fillId="0" borderId="18" xfId="0" applyNumberFormat="1" applyFont="1" applyFill="1" applyBorder="1" applyAlignment="1"/>
    <xf numFmtId="170" fontId="14" fillId="0" borderId="44" xfId="0" applyNumberFormat="1" applyFont="1" applyFill="1" applyBorder="1" applyAlignment="1"/>
    <xf numFmtId="180" fontId="14" fillId="0" borderId="0" xfId="2" applyNumberFormat="1" applyFont="1" applyFill="1" applyBorder="1" applyAlignment="1">
      <alignment horizontal="center"/>
    </xf>
    <xf numFmtId="0" fontId="5" fillId="0" borderId="12" xfId="2" applyFont="1" applyFill="1" applyBorder="1"/>
    <xf numFmtId="0" fontId="5" fillId="0" borderId="13" xfId="2" applyFont="1" applyFill="1" applyBorder="1"/>
    <xf numFmtId="167" fontId="13" fillId="0" borderId="12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" fillId="0" borderId="0" xfId="2" applyFont="1" applyFill="1" applyBorder="1" applyAlignment="1"/>
    <xf numFmtId="0" fontId="6" fillId="5" borderId="27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169" fontId="8" fillId="0" borderId="0" xfId="0" applyNumberFormat="1" applyFont="1" applyBorder="1"/>
    <xf numFmtId="9" fontId="8" fillId="0" borderId="0" xfId="1" applyFont="1" applyBorder="1"/>
    <xf numFmtId="0" fontId="28" fillId="0" borderId="0" xfId="0" applyFont="1" applyBorder="1" applyAlignment="1">
      <alignment vertical="center" wrapText="1"/>
    </xf>
    <xf numFmtId="0" fontId="24" fillId="0" borderId="0" xfId="0" applyFont="1" applyBorder="1" applyAlignment="1"/>
    <xf numFmtId="0" fontId="6" fillId="4" borderId="15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169" fontId="14" fillId="0" borderId="15" xfId="2" applyNumberFormat="1" applyFont="1" applyFill="1" applyBorder="1" applyAlignment="1">
      <alignment horizontal="center" vertical="center"/>
    </xf>
    <xf numFmtId="169" fontId="14" fillId="0" borderId="30" xfId="2" applyNumberFormat="1" applyFont="1" applyFill="1" applyBorder="1" applyAlignment="1">
      <alignment horizontal="center" vertical="center"/>
    </xf>
    <xf numFmtId="169" fontId="14" fillId="0" borderId="29" xfId="2" applyNumberFormat="1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/>
    </xf>
    <xf numFmtId="0" fontId="2" fillId="2" borderId="32" xfId="2" applyFont="1" applyFill="1" applyBorder="1" applyAlignment="1">
      <alignment horizontal="center"/>
    </xf>
    <xf numFmtId="0" fontId="2" fillId="0" borderId="28" xfId="2" applyFont="1" applyBorder="1" applyAlignment="1">
      <alignment horizontal="left" vertical="center"/>
    </xf>
    <xf numFmtId="0" fontId="2" fillId="0" borderId="29" xfId="2" applyFont="1" applyBorder="1" applyAlignment="1">
      <alignment horizontal="left" vertical="center"/>
    </xf>
    <xf numFmtId="0" fontId="2" fillId="0" borderId="0" xfId="2" applyFont="1" applyFill="1" applyBorder="1" applyAlignment="1">
      <alignment horizontal="center"/>
    </xf>
    <xf numFmtId="172" fontId="2" fillId="2" borderId="26" xfId="2" applyNumberFormat="1" applyFont="1" applyFill="1" applyBorder="1" applyAlignment="1">
      <alignment horizontal="center"/>
    </xf>
    <xf numFmtId="172" fontId="2" fillId="2" borderId="32" xfId="2" applyNumberFormat="1" applyFont="1" applyFill="1" applyBorder="1" applyAlignment="1">
      <alignment horizontal="center"/>
    </xf>
    <xf numFmtId="172" fontId="2" fillId="2" borderId="25" xfId="2" applyNumberFormat="1" applyFont="1" applyFill="1" applyBorder="1" applyAlignment="1">
      <alignment horizontal="center"/>
    </xf>
    <xf numFmtId="0" fontId="24" fillId="0" borderId="39" xfId="2" applyFont="1" applyBorder="1" applyAlignment="1">
      <alignment horizontal="center"/>
    </xf>
    <xf numFmtId="0" fontId="24" fillId="0" borderId="40" xfId="2" applyFont="1" applyBorder="1" applyAlignment="1">
      <alignment horizontal="center"/>
    </xf>
    <xf numFmtId="0" fontId="24" fillId="0" borderId="41" xfId="2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169" fontId="14" fillId="0" borderId="15" xfId="2" applyNumberFormat="1" applyFont="1" applyFill="1" applyBorder="1" applyAlignment="1">
      <alignment horizontal="left" vertical="center"/>
    </xf>
    <xf numFmtId="169" fontId="14" fillId="0" borderId="30" xfId="2" applyNumberFormat="1" applyFont="1" applyFill="1" applyBorder="1" applyAlignment="1">
      <alignment horizontal="left" vertical="center"/>
    </xf>
    <xf numFmtId="169" fontId="14" fillId="0" borderId="29" xfId="2" applyNumberFormat="1" applyFont="1" applyFill="1" applyBorder="1" applyAlignment="1">
      <alignment horizontal="left" vertical="center"/>
    </xf>
    <xf numFmtId="0" fontId="37" fillId="0" borderId="0" xfId="0" applyFont="1" applyBorder="1" applyAlignment="1">
      <alignment horizontal="center"/>
    </xf>
    <xf numFmtId="0" fontId="2" fillId="2" borderId="26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18" fillId="3" borderId="22" xfId="2" applyFont="1" applyFill="1" applyBorder="1" applyAlignment="1">
      <alignment horizontal="center" vertical="center"/>
    </xf>
    <xf numFmtId="0" fontId="18" fillId="3" borderId="23" xfId="2" applyFont="1" applyFill="1" applyBorder="1" applyAlignment="1">
      <alignment horizontal="center" vertical="center"/>
    </xf>
    <xf numFmtId="0" fontId="18" fillId="3" borderId="24" xfId="2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0" fontId="26" fillId="9" borderId="16" xfId="0" applyFont="1" applyFill="1" applyBorder="1" applyAlignment="1">
      <alignment horizontal="center" vertical="center"/>
    </xf>
    <xf numFmtId="0" fontId="26" fillId="9" borderId="17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170" fontId="14" fillId="0" borderId="28" xfId="2" applyNumberFormat="1" applyFont="1" applyFill="1" applyBorder="1" applyAlignment="1">
      <alignment horizontal="center" vertical="center"/>
    </xf>
    <xf numFmtId="170" fontId="14" fillId="0" borderId="29" xfId="2" applyNumberFormat="1" applyFont="1" applyFill="1" applyBorder="1" applyAlignment="1">
      <alignment horizontal="center" vertical="center"/>
    </xf>
    <xf numFmtId="0" fontId="29" fillId="0" borderId="33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165" fontId="28" fillId="0" borderId="33" xfId="0" applyNumberFormat="1" applyFont="1" applyBorder="1" applyAlignment="1">
      <alignment horizontal="left" vertical="center" wrapText="1"/>
    </xf>
    <xf numFmtId="165" fontId="28" fillId="0" borderId="34" xfId="0" applyNumberFormat="1" applyFont="1" applyBorder="1" applyAlignment="1">
      <alignment horizontal="left" vertical="center" wrapText="1"/>
    </xf>
    <xf numFmtId="165" fontId="28" fillId="0" borderId="35" xfId="0" applyNumberFormat="1" applyFont="1" applyBorder="1" applyAlignment="1">
      <alignment horizontal="left" vertical="center" wrapText="1"/>
    </xf>
    <xf numFmtId="165" fontId="28" fillId="0" borderId="36" xfId="0" applyNumberFormat="1" applyFont="1" applyBorder="1" applyAlignment="1">
      <alignment horizontal="left" vertical="center" wrapText="1"/>
    </xf>
    <xf numFmtId="165" fontId="28" fillId="0" borderId="37" xfId="0" applyNumberFormat="1" applyFont="1" applyBorder="1" applyAlignment="1">
      <alignment horizontal="left" vertical="center" wrapText="1"/>
    </xf>
    <xf numFmtId="165" fontId="28" fillId="0" borderId="38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4" fillId="0" borderId="39" xfId="0" applyFont="1" applyBorder="1" applyAlignment="1">
      <alignment horizontal="left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4" fontId="6" fillId="6" borderId="10" xfId="0" applyNumberFormat="1" applyFont="1" applyFill="1" applyBorder="1" applyAlignment="1">
      <alignment horizontal="left" vertical="center"/>
    </xf>
    <xf numFmtId="4" fontId="6" fillId="6" borderId="7" xfId="0" applyNumberFormat="1" applyFont="1" applyFill="1" applyBorder="1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15">
    <cellStyle name="Heading" xfId="3" xr:uid="{00000000-0005-0000-0000-000000000000}"/>
    <cellStyle name="Heading 2" xfId="8" xr:uid="{00000000-0005-0000-0000-000001000000}"/>
    <cellStyle name="Heading1" xfId="4" xr:uid="{00000000-0005-0000-0000-000002000000}"/>
    <cellStyle name="Heading1 2" xfId="9" xr:uid="{00000000-0005-0000-0000-000003000000}"/>
    <cellStyle name="Komma" xfId="14" builtinId="3"/>
    <cellStyle name="Link" xfId="13" builtinId="8"/>
    <cellStyle name="Prozent" xfId="1" builtinId="5"/>
    <cellStyle name="Prozent 2" xfId="12" xr:uid="{00000000-0005-0000-0000-000005000000}"/>
    <cellStyle name="Result" xfId="5" xr:uid="{00000000-0005-0000-0000-000006000000}"/>
    <cellStyle name="Result 2" xfId="10" xr:uid="{00000000-0005-0000-0000-000007000000}"/>
    <cellStyle name="Result2" xfId="6" xr:uid="{00000000-0005-0000-0000-000008000000}"/>
    <cellStyle name="Result2 2" xfId="11" xr:uid="{00000000-0005-0000-0000-000009000000}"/>
    <cellStyle name="Standard" xfId="0" builtinId="0"/>
    <cellStyle name="Standard 2" xfId="2" xr:uid="{00000000-0005-0000-0000-00000B000000}"/>
    <cellStyle name="Standard 3" xfId="7" xr:uid="{00000000-0005-0000-0000-00000C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E4EF-016C-404F-9CF4-013ED46CC76F}">
  <dimension ref="B1:AD122"/>
  <sheetViews>
    <sheetView tabSelected="1" zoomScaleNormal="100" workbookViewId="0">
      <pane ySplit="7" topLeftCell="A10" activePane="bottomLeft" state="frozen"/>
      <selection pane="bottomLeft" activeCell="B9" sqref="B9"/>
    </sheetView>
  </sheetViews>
  <sheetFormatPr baseColWidth="10" defaultRowHeight="14.25" x14ac:dyDescent="0.2"/>
  <cols>
    <col min="1" max="1" width="5.7109375" style="7" customWidth="1"/>
    <col min="2" max="2" width="48.28515625" style="7" bestFit="1" customWidth="1"/>
    <col min="3" max="3" width="1.28515625" style="7" customWidth="1"/>
    <col min="4" max="4" width="15.7109375" style="7" customWidth="1"/>
    <col min="5" max="5" width="3.28515625" style="7" customWidth="1"/>
    <col min="6" max="6" width="0.7109375" style="7" customWidth="1"/>
    <col min="7" max="7" width="3.28515625" style="7" customWidth="1"/>
    <col min="8" max="8" width="15.7109375" style="7" customWidth="1"/>
    <col min="9" max="9" width="3.28515625" style="7" customWidth="1"/>
    <col min="10" max="10" width="0.7109375" style="7" customWidth="1"/>
    <col min="11" max="11" width="3.28515625" style="7" customWidth="1"/>
    <col min="12" max="12" width="15.7109375" style="7" customWidth="1"/>
    <col min="13" max="13" width="1.42578125" style="7" customWidth="1"/>
    <col min="14" max="14" width="60.28515625" style="7" bestFit="1" customWidth="1"/>
    <col min="15" max="15" width="3.28515625" style="7" customWidth="1"/>
    <col min="16" max="16" width="11.42578125" style="7"/>
    <col min="17" max="17" width="12.85546875" style="7" customWidth="1"/>
    <col min="18" max="26" width="15.7109375" style="7" customWidth="1"/>
    <col min="27" max="27" width="11.42578125" style="7"/>
    <col min="28" max="28" width="19.5703125" style="7" bestFit="1" customWidth="1"/>
    <col min="29" max="29" width="13.7109375" style="7" bestFit="1" customWidth="1"/>
    <col min="30" max="16384" width="11.42578125" style="7"/>
  </cols>
  <sheetData>
    <row r="1" spans="2:30" ht="15" thickBot="1" x14ac:dyDescent="0.25"/>
    <row r="2" spans="2:30" ht="21" customHeight="1" x14ac:dyDescent="0.2">
      <c r="B2" s="260" t="s">
        <v>98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2"/>
      <c r="O2" s="56"/>
    </row>
    <row r="3" spans="2:30" ht="21" customHeight="1" thickBot="1" x14ac:dyDescent="0.25">
      <c r="B3" s="263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5"/>
      <c r="O3" s="56"/>
    </row>
    <row r="4" spans="2:30" ht="15.75" customHeight="1" x14ac:dyDescent="0.2">
      <c r="B4" s="124" t="s">
        <v>22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2:30" ht="15.75" customHeight="1" thickBot="1" x14ac:dyDescent="0.2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Z5" s="171"/>
      <c r="AA5" s="171"/>
      <c r="AB5" s="171"/>
      <c r="AC5" s="171"/>
      <c r="AD5" s="171"/>
    </row>
    <row r="6" spans="2:30" ht="33" customHeight="1" thickBot="1" x14ac:dyDescent="0.25">
      <c r="B6" s="110" t="s">
        <v>94</v>
      </c>
      <c r="C6" s="66"/>
      <c r="D6" s="89" t="s">
        <v>96</v>
      </c>
      <c r="E6" s="66"/>
      <c r="F6" s="255"/>
      <c r="G6" s="66"/>
      <c r="H6" s="89" t="s">
        <v>97</v>
      </c>
      <c r="I6" s="66"/>
      <c r="J6" s="255"/>
      <c r="K6" s="66"/>
      <c r="L6" s="257" t="s">
        <v>36</v>
      </c>
      <c r="M6" s="258"/>
      <c r="N6" s="259"/>
      <c r="O6" s="65"/>
      <c r="Z6" s="171"/>
      <c r="AA6" s="171"/>
      <c r="AB6" s="171"/>
      <c r="AC6" s="171"/>
      <c r="AD6" s="171"/>
    </row>
    <row r="7" spans="2:30" ht="33.75" customHeight="1" thickBot="1" x14ac:dyDescent="0.25">
      <c r="B7" s="88" t="s">
        <v>37</v>
      </c>
      <c r="C7" s="66"/>
      <c r="D7" s="91"/>
      <c r="E7" s="66"/>
      <c r="F7" s="256"/>
      <c r="G7" s="66"/>
      <c r="H7" s="91"/>
      <c r="I7" s="66"/>
      <c r="J7" s="256"/>
      <c r="K7" s="66"/>
      <c r="L7" s="111"/>
      <c r="M7" s="111"/>
      <c r="N7" s="111"/>
      <c r="O7" s="65"/>
      <c r="Z7" s="171"/>
      <c r="AA7" s="171"/>
      <c r="AB7" s="171"/>
      <c r="AC7" s="171"/>
      <c r="AD7" s="171"/>
    </row>
    <row r="8" spans="2:30" ht="15.75" customHeight="1" thickBot="1" x14ac:dyDescent="0.25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65"/>
      <c r="Z8" s="171"/>
      <c r="AA8" s="171"/>
      <c r="AB8" s="171"/>
      <c r="AC8" s="171"/>
      <c r="AD8" s="171"/>
    </row>
    <row r="9" spans="2:30" ht="15.75" customHeight="1" thickBot="1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Z9" s="171"/>
      <c r="AA9" s="172"/>
      <c r="AB9" s="173"/>
      <c r="AC9" s="172"/>
      <c r="AD9" s="171"/>
    </row>
    <row r="10" spans="2:30" ht="15.75" thickBot="1" x14ac:dyDescent="0.3">
      <c r="B10" s="26" t="s">
        <v>2</v>
      </c>
      <c r="C10" s="67"/>
      <c r="D10" s="188">
        <v>147</v>
      </c>
      <c r="E10" s="68"/>
      <c r="F10" s="234"/>
      <c r="G10" s="69"/>
      <c r="H10" s="40">
        <f>D10</f>
        <v>147</v>
      </c>
      <c r="I10" s="68"/>
      <c r="J10" s="234"/>
      <c r="K10" s="69"/>
      <c r="L10" s="40">
        <f>H10</f>
        <v>147</v>
      </c>
      <c r="M10" s="68"/>
      <c r="N10" s="26" t="s">
        <v>2</v>
      </c>
      <c r="O10" s="70"/>
      <c r="Z10" s="171"/>
      <c r="AA10" s="174"/>
      <c r="AB10" s="175"/>
      <c r="AC10" s="172"/>
      <c r="AD10" s="171"/>
    </row>
    <row r="11" spans="2:30" ht="15" thickBot="1" x14ac:dyDescent="0.25">
      <c r="B11" s="67"/>
      <c r="C11" s="67"/>
      <c r="D11" s="4"/>
      <c r="E11" s="67"/>
      <c r="F11" s="235"/>
      <c r="G11" s="71"/>
      <c r="H11" s="4"/>
      <c r="I11" s="67"/>
      <c r="J11" s="235"/>
      <c r="K11" s="71"/>
      <c r="L11" s="4"/>
      <c r="M11" s="67"/>
      <c r="N11" s="67"/>
      <c r="O11" s="72"/>
      <c r="Z11" s="171"/>
      <c r="AA11" s="174"/>
      <c r="AB11" s="175"/>
      <c r="AC11" s="172"/>
      <c r="AD11" s="171"/>
    </row>
    <row r="12" spans="2:30" ht="15" x14ac:dyDescent="0.25">
      <c r="B12" s="17" t="s">
        <v>66</v>
      </c>
      <c r="C12" s="67"/>
      <c r="D12" s="181">
        <f>D10*D13/1000</f>
        <v>5.1449999999999996</v>
      </c>
      <c r="E12" s="67"/>
      <c r="F12" s="235"/>
      <c r="G12" s="71"/>
      <c r="H12" s="27">
        <f>D12</f>
        <v>5.1449999999999996</v>
      </c>
      <c r="I12" s="67"/>
      <c r="J12" s="235"/>
      <c r="K12" s="71"/>
      <c r="L12" s="27">
        <f>H12</f>
        <v>5.1449999999999996</v>
      </c>
      <c r="M12" s="67"/>
      <c r="N12" s="17" t="s">
        <v>66</v>
      </c>
      <c r="O12" s="72"/>
      <c r="P12" s="221"/>
      <c r="Q12" s="221"/>
      <c r="R12" s="221"/>
      <c r="S12" s="221"/>
      <c r="T12" s="221"/>
      <c r="U12" s="221"/>
      <c r="V12" s="221"/>
      <c r="Z12" s="171"/>
      <c r="AA12" s="172"/>
      <c r="AB12" s="172"/>
      <c r="AC12" s="172"/>
      <c r="AD12" s="171"/>
    </row>
    <row r="13" spans="2:30" ht="15" thickBot="1" x14ac:dyDescent="0.25">
      <c r="B13" s="73" t="s">
        <v>32</v>
      </c>
      <c r="C13" s="67"/>
      <c r="D13" s="182">
        <v>35</v>
      </c>
      <c r="E13" s="67"/>
      <c r="F13" s="235"/>
      <c r="G13" s="71"/>
      <c r="H13" s="39">
        <f>D13</f>
        <v>35</v>
      </c>
      <c r="I13" s="67"/>
      <c r="J13" s="235"/>
      <c r="K13" s="71"/>
      <c r="L13" s="39">
        <f>H13</f>
        <v>35</v>
      </c>
      <c r="M13" s="67"/>
      <c r="N13" s="73" t="s">
        <v>32</v>
      </c>
      <c r="O13" s="74"/>
      <c r="P13" s="159"/>
      <c r="Q13" s="159"/>
      <c r="R13" s="159"/>
      <c r="S13" s="159"/>
      <c r="T13" s="83"/>
      <c r="U13" s="83"/>
      <c r="V13" s="83"/>
      <c r="Z13" s="171"/>
      <c r="AA13" s="172"/>
      <c r="AB13" s="172"/>
      <c r="AC13" s="172"/>
      <c r="AD13" s="171"/>
    </row>
    <row r="14" spans="2:30" x14ac:dyDescent="0.2">
      <c r="B14" s="67"/>
      <c r="C14" s="67"/>
      <c r="D14" s="18"/>
      <c r="E14" s="67"/>
      <c r="F14" s="235"/>
      <c r="G14" s="71"/>
      <c r="H14" s="18"/>
      <c r="I14" s="67"/>
      <c r="J14" s="235"/>
      <c r="K14" s="71"/>
      <c r="L14" s="18"/>
      <c r="M14" s="67"/>
      <c r="N14" s="67"/>
      <c r="O14" s="72"/>
      <c r="P14" s="83"/>
      <c r="Q14" s="83"/>
      <c r="R14" s="83"/>
      <c r="S14" s="83"/>
      <c r="T14" s="83"/>
      <c r="U14" s="83"/>
      <c r="V14" s="83"/>
      <c r="Z14" s="171"/>
      <c r="AA14" s="254"/>
      <c r="AB14" s="254"/>
      <c r="AC14" s="254"/>
      <c r="AD14" s="171"/>
    </row>
    <row r="15" spans="2:30" ht="15" thickBot="1" x14ac:dyDescent="0.25">
      <c r="B15" s="100"/>
      <c r="C15" s="84"/>
      <c r="D15" s="101"/>
      <c r="E15" s="67"/>
      <c r="F15" s="235"/>
      <c r="G15" s="71"/>
      <c r="H15" s="101"/>
      <c r="I15" s="67"/>
      <c r="J15" s="235"/>
      <c r="K15" s="71"/>
      <c r="L15" s="101"/>
      <c r="M15" s="204"/>
      <c r="N15" s="204"/>
      <c r="O15" s="72"/>
      <c r="P15" s="221"/>
      <c r="Q15" s="221"/>
      <c r="R15" s="221"/>
      <c r="S15" s="221"/>
      <c r="T15" s="221"/>
      <c r="U15" s="221"/>
      <c r="V15" s="221"/>
      <c r="Z15" s="171"/>
      <c r="AA15" s="172"/>
      <c r="AB15" s="173"/>
      <c r="AC15" s="173"/>
      <c r="AD15" s="171"/>
    </row>
    <row r="16" spans="2:30" ht="15" x14ac:dyDescent="0.25">
      <c r="B16" s="113"/>
      <c r="C16" s="81"/>
      <c r="D16" s="114"/>
      <c r="E16" s="67"/>
      <c r="F16" s="235"/>
      <c r="G16" s="71"/>
      <c r="H16" s="114"/>
      <c r="I16" s="67"/>
      <c r="J16" s="235"/>
      <c r="K16" s="71"/>
      <c r="L16" s="169"/>
      <c r="M16" s="67"/>
      <c r="N16" s="170"/>
      <c r="O16" s="72"/>
      <c r="P16" s="197"/>
      <c r="Q16" s="197"/>
      <c r="R16" s="197"/>
      <c r="S16" s="197"/>
      <c r="T16" s="197"/>
      <c r="U16" s="197"/>
      <c r="V16" s="197"/>
      <c r="Z16" s="171"/>
      <c r="AA16" s="172"/>
      <c r="AB16" s="172"/>
      <c r="AC16" s="172"/>
      <c r="AD16" s="171"/>
    </row>
    <row r="17" spans="2:30" ht="15.75" thickBot="1" x14ac:dyDescent="0.25">
      <c r="B17" s="120" t="s">
        <v>94</v>
      </c>
      <c r="C17" s="81"/>
      <c r="D17" s="114"/>
      <c r="E17" s="67"/>
      <c r="F17" s="235"/>
      <c r="G17" s="71"/>
      <c r="H17" s="114"/>
      <c r="I17" s="67"/>
      <c r="J17" s="235"/>
      <c r="K17" s="71"/>
      <c r="O17" s="72"/>
      <c r="P17" s="220"/>
      <c r="Q17" s="220"/>
      <c r="R17" s="220"/>
      <c r="S17" s="220"/>
      <c r="T17" s="197"/>
      <c r="U17" s="197"/>
      <c r="V17" s="197"/>
      <c r="Z17" s="171"/>
      <c r="AA17" s="172"/>
      <c r="AB17" s="172"/>
      <c r="AC17" s="172"/>
      <c r="AD17" s="171"/>
    </row>
    <row r="18" spans="2:30" ht="15.75" thickBot="1" x14ac:dyDescent="0.3">
      <c r="B18" s="120"/>
      <c r="C18" s="81"/>
      <c r="D18" s="114"/>
      <c r="E18" s="67"/>
      <c r="F18" s="235"/>
      <c r="G18" s="71"/>
      <c r="H18" s="114"/>
      <c r="I18" s="67"/>
      <c r="J18" s="235"/>
      <c r="K18" s="71"/>
      <c r="L18" s="38">
        <f>L22/L20</f>
        <v>7714.2857142857156</v>
      </c>
      <c r="M18" s="67"/>
      <c r="N18" s="19" t="s">
        <v>99</v>
      </c>
      <c r="O18" s="72"/>
      <c r="P18" s="220"/>
      <c r="Q18" s="220"/>
      <c r="R18" s="220"/>
      <c r="S18" s="220"/>
      <c r="T18" s="197"/>
      <c r="U18" s="197"/>
      <c r="V18" s="197"/>
      <c r="Z18" s="171"/>
      <c r="AA18" s="172"/>
      <c r="AB18" s="172"/>
      <c r="AC18" s="172"/>
      <c r="AD18" s="171"/>
    </row>
    <row r="19" spans="2:30" ht="15.75" thickBot="1" x14ac:dyDescent="0.3">
      <c r="B19" s="120"/>
      <c r="C19" s="81"/>
      <c r="D19" s="114"/>
      <c r="E19" s="67"/>
      <c r="F19" s="235"/>
      <c r="G19" s="71"/>
      <c r="H19" s="114"/>
      <c r="I19" s="67"/>
      <c r="J19" s="235"/>
      <c r="K19" s="71"/>
      <c r="L19" s="169"/>
      <c r="M19" s="81"/>
      <c r="N19" s="205"/>
      <c r="O19" s="72"/>
      <c r="P19" s="220"/>
      <c r="Q19" s="220"/>
      <c r="R19" s="220"/>
      <c r="S19" s="220"/>
      <c r="T19" s="197"/>
      <c r="U19" s="197"/>
      <c r="V19" s="197"/>
      <c r="Z19" s="171"/>
      <c r="AA19" s="172"/>
      <c r="AB19" s="172"/>
      <c r="AC19" s="172"/>
      <c r="AD19" s="171"/>
    </row>
    <row r="20" spans="2:30" ht="15" x14ac:dyDescent="0.25">
      <c r="B20" s="189" t="s">
        <v>87</v>
      </c>
      <c r="C20" s="81"/>
      <c r="D20" s="202">
        <v>2800</v>
      </c>
      <c r="E20" s="67"/>
      <c r="F20" s="235"/>
      <c r="G20" s="71"/>
      <c r="H20" s="202">
        <f>H22/H21</f>
        <v>2606.8965517241381</v>
      </c>
      <c r="I20" s="67"/>
      <c r="J20" s="235"/>
      <c r="K20" s="71"/>
      <c r="L20" s="47">
        <v>0.98</v>
      </c>
      <c r="M20" s="67"/>
      <c r="N20" s="75" t="s">
        <v>35</v>
      </c>
      <c r="O20" s="72"/>
      <c r="P20" s="197"/>
      <c r="Q20" s="197"/>
      <c r="R20" s="197"/>
      <c r="S20" s="197"/>
      <c r="T20" s="197"/>
      <c r="U20" s="197"/>
      <c r="V20" s="197"/>
      <c r="Z20" s="171"/>
      <c r="AA20" s="172"/>
      <c r="AB20" s="172"/>
      <c r="AC20" s="172"/>
      <c r="AD20" s="171"/>
    </row>
    <row r="21" spans="2:30" x14ac:dyDescent="0.2">
      <c r="B21" s="190" t="s">
        <v>88</v>
      </c>
      <c r="C21" s="81"/>
      <c r="D21" s="203">
        <v>2.7</v>
      </c>
      <c r="E21" s="67"/>
      <c r="F21" s="235"/>
      <c r="G21" s="71"/>
      <c r="H21" s="203">
        <v>2.9</v>
      </c>
      <c r="I21" s="67"/>
      <c r="J21" s="235"/>
      <c r="K21" s="71"/>
      <c r="L21" s="28"/>
      <c r="M21" s="67"/>
      <c r="N21" s="76"/>
      <c r="O21" s="72"/>
      <c r="P21" s="197"/>
      <c r="Q21" s="197"/>
      <c r="R21" s="197"/>
      <c r="S21" s="197"/>
      <c r="T21" s="197"/>
      <c r="U21" s="197"/>
      <c r="V21" s="197"/>
      <c r="Z21" s="171"/>
      <c r="AA21" s="172"/>
      <c r="AB21" s="172"/>
      <c r="AC21" s="172"/>
      <c r="AD21" s="171"/>
    </row>
    <row r="22" spans="2:30" ht="15.75" thickBot="1" x14ac:dyDescent="0.3">
      <c r="B22" s="191" t="s">
        <v>71</v>
      </c>
      <c r="C22" s="81"/>
      <c r="D22" s="195">
        <f>D21*D20</f>
        <v>7560.0000000000009</v>
      </c>
      <c r="E22" s="67"/>
      <c r="F22" s="235"/>
      <c r="G22" s="71"/>
      <c r="H22" s="195">
        <f>D22</f>
        <v>7560.0000000000009</v>
      </c>
      <c r="I22" s="20"/>
      <c r="J22" s="235"/>
      <c r="K22" s="49"/>
      <c r="L22" s="31">
        <f>H46-L40</f>
        <v>7560.0000000000009</v>
      </c>
      <c r="M22" s="67"/>
      <c r="N22" s="30" t="s">
        <v>31</v>
      </c>
      <c r="O22" s="43"/>
      <c r="P22" s="179"/>
      <c r="Q22" s="179"/>
      <c r="R22" s="179"/>
      <c r="S22" s="179"/>
      <c r="T22" s="180"/>
      <c r="U22" s="180"/>
      <c r="V22" s="180"/>
      <c r="Z22" s="171"/>
      <c r="AA22" s="172"/>
      <c r="AB22" s="172"/>
      <c r="AC22" s="172"/>
      <c r="AD22" s="171"/>
    </row>
    <row r="23" spans="2:30" ht="15" customHeight="1" thickBot="1" x14ac:dyDescent="0.25">
      <c r="B23" s="113"/>
      <c r="C23" s="81"/>
      <c r="D23" s="114"/>
      <c r="E23" s="67"/>
      <c r="F23" s="235"/>
      <c r="G23" s="71"/>
      <c r="H23" s="114"/>
      <c r="I23" s="20"/>
      <c r="J23" s="235"/>
      <c r="K23" s="49"/>
      <c r="L23" s="177"/>
      <c r="M23" s="20"/>
      <c r="N23" s="178"/>
      <c r="O23" s="43"/>
      <c r="P23" s="220"/>
      <c r="Q23" s="220"/>
      <c r="R23" s="220"/>
      <c r="S23" s="220"/>
      <c r="T23" s="220"/>
      <c r="U23" s="220"/>
      <c r="V23" s="220"/>
      <c r="Z23" s="171"/>
      <c r="AA23" s="172"/>
      <c r="AB23" s="172"/>
      <c r="AC23" s="172"/>
      <c r="AD23" s="171"/>
    </row>
    <row r="24" spans="2:30" ht="15" x14ac:dyDescent="0.25">
      <c r="B24" s="196" t="s">
        <v>95</v>
      </c>
      <c r="C24" s="81"/>
      <c r="D24" s="193">
        <f>D26+(D27*D20*D28+D29*D20*D30)/100</f>
        <v>670.34400000000005</v>
      </c>
      <c r="E24" s="20"/>
      <c r="F24" s="235"/>
      <c r="G24" s="49"/>
      <c r="H24" s="193">
        <f>H26+(H27*H20*H28+H29*H20*H30)/100</f>
        <v>628.25131034482763</v>
      </c>
      <c r="I24" s="20"/>
      <c r="J24" s="235"/>
      <c r="K24" s="49"/>
      <c r="L24" s="32">
        <f>L18*L25/100</f>
        <v>501.4285714285715</v>
      </c>
      <c r="M24" s="4"/>
      <c r="N24" s="17" t="s">
        <v>100</v>
      </c>
      <c r="O24" s="43"/>
      <c r="P24" s="220"/>
      <c r="Q24" s="220"/>
      <c r="R24" s="220"/>
      <c r="S24" s="220"/>
      <c r="T24" s="220"/>
      <c r="U24" s="220"/>
      <c r="V24" s="220"/>
      <c r="Z24" s="171"/>
      <c r="AA24" s="172"/>
      <c r="AB24" s="172"/>
      <c r="AC24" s="172"/>
      <c r="AD24" s="171"/>
    </row>
    <row r="25" spans="2:30" ht="15" customHeight="1" x14ac:dyDescent="0.2">
      <c r="B25" s="190" t="s">
        <v>23</v>
      </c>
      <c r="C25" s="81"/>
      <c r="D25" s="200">
        <f>D24*100/D20</f>
        <v>23.940857142857148</v>
      </c>
      <c r="E25" s="20"/>
      <c r="F25" s="235"/>
      <c r="G25" s="49"/>
      <c r="H25" s="200">
        <f>H24*100/H20</f>
        <v>24.099587301587302</v>
      </c>
      <c r="I25" s="20"/>
      <c r="J25" s="235"/>
      <c r="K25" s="49"/>
      <c r="L25" s="266">
        <v>6.5</v>
      </c>
      <c r="M25" s="67"/>
      <c r="N25" s="231" t="s">
        <v>34</v>
      </c>
      <c r="O25" s="43"/>
      <c r="P25" s="220"/>
      <c r="Q25" s="220"/>
      <c r="R25" s="220"/>
      <c r="S25" s="220"/>
      <c r="T25" s="220"/>
      <c r="U25" s="220"/>
      <c r="V25" s="220"/>
      <c r="Z25" s="171"/>
      <c r="AA25" s="172"/>
      <c r="AB25" s="172"/>
      <c r="AC25" s="172"/>
      <c r="AD25" s="171"/>
    </row>
    <row r="26" spans="2:30" ht="15.75" customHeight="1" thickBot="1" x14ac:dyDescent="0.25">
      <c r="B26" s="201" t="s">
        <v>89</v>
      </c>
      <c r="C26" s="81"/>
      <c r="D26" s="199">
        <v>60</v>
      </c>
      <c r="E26" s="20"/>
      <c r="F26" s="235"/>
      <c r="G26" s="49"/>
      <c r="H26" s="199">
        <v>60</v>
      </c>
      <c r="I26" s="20"/>
      <c r="J26" s="235"/>
      <c r="K26" s="49"/>
      <c r="L26" s="267"/>
      <c r="M26" s="20"/>
      <c r="N26" s="232"/>
      <c r="O26" s="43"/>
      <c r="P26" s="220"/>
      <c r="Q26" s="220"/>
      <c r="R26" s="220"/>
      <c r="S26" s="220"/>
      <c r="T26" s="220"/>
      <c r="U26" s="220"/>
      <c r="V26" s="220"/>
      <c r="Z26" s="171"/>
      <c r="AA26" s="172"/>
      <c r="AB26" s="172"/>
      <c r="AC26" s="172"/>
      <c r="AD26" s="171"/>
    </row>
    <row r="27" spans="2:30" ht="15" thickBot="1" x14ac:dyDescent="0.25">
      <c r="B27" s="201" t="s">
        <v>90</v>
      </c>
      <c r="C27" s="81"/>
      <c r="D27" s="192">
        <v>0.1</v>
      </c>
      <c r="E27" s="20"/>
      <c r="F27" s="235"/>
      <c r="G27" s="49"/>
      <c r="H27" s="192">
        <v>0.1</v>
      </c>
      <c r="J27" s="235"/>
      <c r="K27" s="77"/>
      <c r="L27" s="177"/>
      <c r="M27" s="20"/>
      <c r="N27" s="178"/>
      <c r="O27" s="78"/>
      <c r="P27" s="83"/>
      <c r="Q27" s="83"/>
      <c r="R27" s="83"/>
      <c r="S27" s="83"/>
      <c r="T27" s="83"/>
      <c r="U27" s="83"/>
      <c r="V27" s="83"/>
      <c r="Z27" s="171"/>
      <c r="AA27" s="172"/>
      <c r="AB27" s="172"/>
      <c r="AC27" s="172"/>
      <c r="AD27" s="171"/>
    </row>
    <row r="28" spans="2:30" ht="15" x14ac:dyDescent="0.25">
      <c r="B28" s="201" t="s">
        <v>91</v>
      </c>
      <c r="C28" s="81"/>
      <c r="D28" s="194">
        <v>25.2</v>
      </c>
      <c r="E28" s="20"/>
      <c r="F28" s="235"/>
      <c r="G28" s="49"/>
      <c r="H28" s="194">
        <v>25.2</v>
      </c>
      <c r="I28" s="21"/>
      <c r="J28" s="235"/>
      <c r="K28" s="50"/>
      <c r="L28" s="212">
        <f>D22</f>
        <v>7560.0000000000009</v>
      </c>
      <c r="M28" s="42"/>
      <c r="N28" s="210" t="s">
        <v>101</v>
      </c>
      <c r="O28" s="44"/>
      <c r="P28" s="220"/>
      <c r="Q28" s="220"/>
      <c r="R28" s="220"/>
      <c r="S28" s="220"/>
      <c r="T28" s="83"/>
      <c r="U28" s="83"/>
      <c r="V28" s="83"/>
      <c r="Z28" s="171"/>
      <c r="AA28" s="172"/>
      <c r="AB28" s="172"/>
      <c r="AC28" s="172"/>
      <c r="AD28" s="171"/>
    </row>
    <row r="29" spans="2:30" ht="15.75" thickBot="1" x14ac:dyDescent="0.3">
      <c r="B29" s="201" t="s">
        <v>92</v>
      </c>
      <c r="C29" s="81"/>
      <c r="D29" s="198">
        <f>1-D27</f>
        <v>0.9</v>
      </c>
      <c r="F29" s="235"/>
      <c r="G29" s="77"/>
      <c r="H29" s="198">
        <f>1-H27</f>
        <v>0.9</v>
      </c>
      <c r="I29" s="67"/>
      <c r="J29" s="235"/>
      <c r="K29" s="71"/>
      <c r="L29" s="31">
        <f>D40-L40</f>
        <v>0</v>
      </c>
      <c r="M29" s="72"/>
      <c r="N29" s="211" t="s">
        <v>102</v>
      </c>
      <c r="O29" s="72"/>
      <c r="P29" s="220"/>
      <c r="Q29" s="220"/>
      <c r="R29" s="220"/>
      <c r="S29" s="220"/>
      <c r="T29" s="83"/>
      <c r="U29" s="83"/>
      <c r="V29" s="83"/>
      <c r="Z29" s="171"/>
      <c r="AA29" s="240"/>
      <c r="AB29" s="240"/>
      <c r="AC29" s="176"/>
      <c r="AD29" s="171"/>
    </row>
    <row r="30" spans="2:30" ht="15" x14ac:dyDescent="0.25">
      <c r="B30" s="201" t="s">
        <v>93</v>
      </c>
      <c r="C30" s="81"/>
      <c r="D30" s="194">
        <v>21.42</v>
      </c>
      <c r="E30" s="21"/>
      <c r="F30" s="235"/>
      <c r="G30" s="50"/>
      <c r="H30" s="194">
        <v>21.42</v>
      </c>
      <c r="I30" s="67"/>
      <c r="J30" s="235"/>
      <c r="K30" s="71"/>
      <c r="L30" s="209"/>
      <c r="M30" s="72"/>
      <c r="N30" s="44"/>
      <c r="O30" s="72"/>
      <c r="P30" s="220"/>
      <c r="Q30" s="220"/>
      <c r="R30" s="220"/>
      <c r="S30" s="220"/>
      <c r="T30" s="83"/>
      <c r="U30" s="83"/>
      <c r="V30" s="83"/>
      <c r="Z30" s="171"/>
      <c r="AA30" s="240"/>
      <c r="AB30" s="240"/>
      <c r="AC30" s="176"/>
      <c r="AD30" s="171"/>
    </row>
    <row r="31" spans="2:30" ht="15.75" thickBot="1" x14ac:dyDescent="0.3">
      <c r="B31" s="206"/>
      <c r="C31" s="84"/>
      <c r="D31" s="207"/>
      <c r="E31" s="21"/>
      <c r="F31" s="235"/>
      <c r="G31" s="71"/>
      <c r="H31" s="208"/>
      <c r="I31" s="67"/>
      <c r="J31" s="235"/>
      <c r="K31" s="71"/>
      <c r="L31" s="204"/>
      <c r="M31" s="204"/>
      <c r="N31" s="204"/>
      <c r="O31" s="72"/>
    </row>
    <row r="32" spans="2:30" x14ac:dyDescent="0.2">
      <c r="B32" s="22"/>
      <c r="C32" s="67"/>
      <c r="D32" s="23"/>
      <c r="E32" s="67"/>
      <c r="F32" s="235"/>
      <c r="G32" s="71"/>
      <c r="H32" s="23"/>
      <c r="I32" s="67"/>
      <c r="J32" s="235"/>
      <c r="K32" s="71"/>
      <c r="O32" s="72"/>
    </row>
    <row r="33" spans="2:22" ht="15.75" thickBot="1" x14ac:dyDescent="0.25">
      <c r="B33" s="120" t="s">
        <v>53</v>
      </c>
      <c r="C33" s="67"/>
      <c r="D33" s="23"/>
      <c r="E33" s="67"/>
      <c r="F33" s="235"/>
      <c r="G33" s="71"/>
      <c r="H33" s="23"/>
      <c r="I33" s="67"/>
      <c r="J33" s="235"/>
      <c r="K33" s="71"/>
      <c r="O33" s="72"/>
    </row>
    <row r="34" spans="2:22" ht="15" x14ac:dyDescent="0.25">
      <c r="B34" s="17" t="s">
        <v>43</v>
      </c>
      <c r="C34" s="67"/>
      <c r="D34" s="127">
        <v>5</v>
      </c>
      <c r="E34" s="67"/>
      <c r="F34" s="235"/>
      <c r="G34" s="71"/>
      <c r="H34" s="104">
        <f>D34</f>
        <v>5</v>
      </c>
      <c r="I34" s="67"/>
      <c r="J34" s="235"/>
      <c r="K34" s="71"/>
      <c r="L34" s="112">
        <f>D34/3</f>
        <v>1.6666666666666667</v>
      </c>
      <c r="M34" s="67"/>
      <c r="N34" s="17" t="s">
        <v>43</v>
      </c>
      <c r="O34" s="72"/>
      <c r="P34" s="242" t="s">
        <v>65</v>
      </c>
      <c r="Q34" s="243"/>
      <c r="R34" s="243"/>
      <c r="S34" s="244"/>
    </row>
    <row r="35" spans="2:22" x14ac:dyDescent="0.2">
      <c r="B35" s="107" t="s">
        <v>46</v>
      </c>
      <c r="C35" s="67"/>
      <c r="D35" s="128">
        <v>0.5</v>
      </c>
      <c r="E35" s="67"/>
      <c r="F35" s="235"/>
      <c r="G35" s="71"/>
      <c r="H35" s="105">
        <f>D35</f>
        <v>0.5</v>
      </c>
      <c r="I35" s="67"/>
      <c r="J35" s="235"/>
      <c r="K35" s="71"/>
      <c r="L35" s="105">
        <f>D35</f>
        <v>0.5</v>
      </c>
      <c r="M35" s="67"/>
      <c r="N35" s="107" t="s">
        <v>46</v>
      </c>
      <c r="O35" s="72"/>
      <c r="P35" s="245"/>
      <c r="Q35" s="246"/>
      <c r="R35" s="246"/>
      <c r="S35" s="247"/>
    </row>
    <row r="36" spans="2:22" ht="15" thickBot="1" x14ac:dyDescent="0.25">
      <c r="B36" s="108" t="s">
        <v>47</v>
      </c>
      <c r="C36" s="67"/>
      <c r="D36" s="106">
        <f>1-D35</f>
        <v>0.5</v>
      </c>
      <c r="E36" s="67"/>
      <c r="F36" s="235"/>
      <c r="G36" s="71"/>
      <c r="H36" s="106">
        <f>D36</f>
        <v>0.5</v>
      </c>
      <c r="I36" s="67"/>
      <c r="J36" s="235"/>
      <c r="K36" s="71"/>
      <c r="L36" s="106">
        <f>D36</f>
        <v>0.5</v>
      </c>
      <c r="M36" s="67"/>
      <c r="N36" s="108" t="s">
        <v>47</v>
      </c>
      <c r="O36" s="72"/>
      <c r="P36" s="248"/>
      <c r="Q36" s="249"/>
      <c r="R36" s="249"/>
      <c r="S36" s="250"/>
    </row>
    <row r="37" spans="2:22" ht="15" thickBot="1" x14ac:dyDescent="0.25">
      <c r="B37" s="22"/>
      <c r="C37" s="67"/>
      <c r="D37" s="23"/>
      <c r="E37" s="67"/>
      <c r="F37" s="235"/>
      <c r="G37" s="71"/>
      <c r="H37" s="23"/>
      <c r="I37" s="67"/>
      <c r="J37" s="235"/>
      <c r="K37" s="71"/>
      <c r="L37" s="23"/>
      <c r="M37" s="67"/>
      <c r="N37" s="22"/>
      <c r="O37" s="72"/>
    </row>
    <row r="38" spans="2:22" x14ac:dyDescent="0.2">
      <c r="B38" s="75" t="s">
        <v>44</v>
      </c>
      <c r="C38" s="67"/>
      <c r="D38" s="126">
        <v>0.65</v>
      </c>
      <c r="E38" s="67"/>
      <c r="F38" s="235"/>
      <c r="G38" s="71"/>
      <c r="H38" s="47">
        <f>D38</f>
        <v>0.65</v>
      </c>
      <c r="I38" s="67"/>
      <c r="J38" s="235"/>
      <c r="K38" s="71"/>
      <c r="L38" s="47">
        <f>H38</f>
        <v>0.65</v>
      </c>
      <c r="M38" s="67"/>
      <c r="N38" s="75" t="s">
        <v>44</v>
      </c>
      <c r="O38" s="72"/>
      <c r="P38" s="242" t="s">
        <v>64</v>
      </c>
      <c r="Q38" s="243"/>
      <c r="R38" s="243"/>
      <c r="S38" s="244"/>
    </row>
    <row r="39" spans="2:22" x14ac:dyDescent="0.2">
      <c r="B39" s="76" t="s">
        <v>48</v>
      </c>
      <c r="C39" s="67"/>
      <c r="D39" s="109">
        <f>IF(D34=0,0,(D34*D35*AC29+D34*D36*AC30)/D34)</f>
        <v>0</v>
      </c>
      <c r="E39" s="67"/>
      <c r="F39" s="235"/>
      <c r="G39" s="71"/>
      <c r="H39" s="29">
        <f>D39</f>
        <v>0</v>
      </c>
      <c r="I39" s="67"/>
      <c r="J39" s="235"/>
      <c r="K39" s="71"/>
      <c r="L39" s="109">
        <f>H39</f>
        <v>0</v>
      </c>
      <c r="M39" s="67"/>
      <c r="N39" s="76" t="s">
        <v>48</v>
      </c>
      <c r="O39" s="72"/>
      <c r="P39" s="245"/>
      <c r="Q39" s="246"/>
      <c r="R39" s="246"/>
      <c r="S39" s="247"/>
    </row>
    <row r="40" spans="2:22" ht="15.75" thickBot="1" x14ac:dyDescent="0.3">
      <c r="B40" s="30" t="s">
        <v>71</v>
      </c>
      <c r="C40" s="67"/>
      <c r="D40" s="31">
        <f>IF(D34=0,0,D34*D39*D38)</f>
        <v>0</v>
      </c>
      <c r="E40" s="67"/>
      <c r="F40" s="235"/>
      <c r="G40" s="71"/>
      <c r="H40" s="31">
        <f>D40</f>
        <v>0</v>
      </c>
      <c r="I40" s="67"/>
      <c r="J40" s="235"/>
      <c r="K40" s="71"/>
      <c r="L40" s="31">
        <f>L34*L39*L38</f>
        <v>0</v>
      </c>
      <c r="M40" s="67"/>
      <c r="N40" s="30" t="s">
        <v>71</v>
      </c>
      <c r="O40" s="72"/>
      <c r="P40" s="248"/>
      <c r="Q40" s="249"/>
      <c r="R40" s="249"/>
      <c r="S40" s="250"/>
    </row>
    <row r="41" spans="2:22" ht="15" thickBot="1" x14ac:dyDescent="0.25">
      <c r="B41" s="22"/>
      <c r="C41" s="67"/>
      <c r="D41" s="23"/>
      <c r="E41" s="67"/>
      <c r="F41" s="235"/>
      <c r="G41" s="71"/>
      <c r="H41" s="23"/>
      <c r="I41" s="67"/>
      <c r="J41" s="235"/>
      <c r="K41" s="71"/>
      <c r="L41" s="23"/>
      <c r="M41" s="67"/>
      <c r="N41" s="22"/>
      <c r="O41" s="72"/>
    </row>
    <row r="42" spans="2:22" ht="15" x14ac:dyDescent="0.25">
      <c r="B42" s="17" t="s">
        <v>45</v>
      </c>
      <c r="C42" s="3"/>
      <c r="D42" s="32">
        <f>D43*D34</f>
        <v>445.15</v>
      </c>
      <c r="E42" s="67"/>
      <c r="F42" s="235"/>
      <c r="G42" s="71"/>
      <c r="H42" s="32">
        <f>H43*H34</f>
        <v>445.15</v>
      </c>
      <c r="I42" s="67"/>
      <c r="J42" s="235"/>
      <c r="K42" s="71"/>
      <c r="L42" s="32">
        <f>L43*L34</f>
        <v>148.38333333333335</v>
      </c>
      <c r="M42" s="67"/>
      <c r="N42" s="17" t="s">
        <v>45</v>
      </c>
      <c r="O42" s="72"/>
      <c r="P42" s="268" t="s">
        <v>82</v>
      </c>
      <c r="Q42" s="269"/>
      <c r="R42" s="269"/>
      <c r="S42" s="269"/>
      <c r="T42" s="269"/>
      <c r="U42" s="269"/>
      <c r="V42" s="270"/>
    </row>
    <row r="43" spans="2:22" ht="15" thickBot="1" x14ac:dyDescent="0.25">
      <c r="B43" s="102" t="s">
        <v>50</v>
      </c>
      <c r="C43" s="67"/>
      <c r="D43" s="129">
        <f>D35*98.68+D36*79.38</f>
        <v>89.03</v>
      </c>
      <c r="E43" s="67"/>
      <c r="F43" s="235"/>
      <c r="G43" s="71"/>
      <c r="H43" s="103">
        <f>D43</f>
        <v>89.03</v>
      </c>
      <c r="I43" s="67"/>
      <c r="J43" s="235"/>
      <c r="K43" s="71"/>
      <c r="L43" s="103">
        <f>H43</f>
        <v>89.03</v>
      </c>
      <c r="M43" s="67"/>
      <c r="N43" s="102" t="s">
        <v>50</v>
      </c>
      <c r="O43" s="72"/>
      <c r="P43" s="271"/>
      <c r="Q43" s="272"/>
      <c r="R43" s="272"/>
      <c r="S43" s="272"/>
      <c r="T43" s="272"/>
      <c r="U43" s="272"/>
      <c r="V43" s="273"/>
    </row>
    <row r="44" spans="2:22" ht="15" thickBot="1" x14ac:dyDescent="0.25">
      <c r="B44" s="90"/>
      <c r="C44" s="84"/>
      <c r="D44" s="116"/>
      <c r="E44" s="67"/>
      <c r="F44" s="235"/>
      <c r="G44" s="71"/>
      <c r="H44" s="115"/>
      <c r="I44" s="67"/>
      <c r="J44" s="235"/>
      <c r="K44" s="71"/>
      <c r="L44" s="115"/>
      <c r="M44" s="84"/>
      <c r="N44" s="90"/>
      <c r="O44" s="72"/>
    </row>
    <row r="45" spans="2:22" ht="19.5" customHeight="1" thickBot="1" x14ac:dyDescent="0.25">
      <c r="B45" s="113"/>
      <c r="C45" s="81"/>
      <c r="D45" s="114"/>
      <c r="E45" s="67"/>
      <c r="F45" s="235"/>
      <c r="G45" s="71"/>
      <c r="H45" s="114"/>
      <c r="I45" s="67"/>
      <c r="J45" s="235"/>
      <c r="K45" s="71"/>
      <c r="L45" s="23"/>
      <c r="M45" s="67"/>
      <c r="N45" s="45"/>
      <c r="O45" s="72"/>
    </row>
    <row r="46" spans="2:22" ht="15.75" thickBot="1" x14ac:dyDescent="0.3">
      <c r="B46" s="117" t="s">
        <v>49</v>
      </c>
      <c r="C46" s="81"/>
      <c r="D46" s="38">
        <f>D40+D22</f>
        <v>7560.0000000000009</v>
      </c>
      <c r="E46" s="67"/>
      <c r="F46" s="235"/>
      <c r="G46" s="71"/>
      <c r="H46" s="38">
        <f>H40+H22</f>
        <v>7560.0000000000009</v>
      </c>
      <c r="I46" s="67"/>
      <c r="J46" s="235"/>
      <c r="K46" s="71"/>
      <c r="L46" s="38">
        <f>D46</f>
        <v>7560.0000000000009</v>
      </c>
      <c r="M46" s="67"/>
      <c r="N46" s="117" t="s">
        <v>49</v>
      </c>
      <c r="O46" s="72"/>
    </row>
    <row r="47" spans="2:22" ht="15" thickBot="1" x14ac:dyDescent="0.25">
      <c r="B47" s="22"/>
      <c r="C47" s="67"/>
      <c r="D47" s="23"/>
      <c r="E47" s="67"/>
      <c r="F47" s="235"/>
      <c r="G47" s="71"/>
      <c r="H47" s="23"/>
      <c r="I47" s="67"/>
      <c r="J47" s="235"/>
      <c r="K47" s="71"/>
      <c r="L47" s="23"/>
      <c r="M47" s="67"/>
      <c r="N47" s="45"/>
      <c r="O47" s="72"/>
    </row>
    <row r="48" spans="2:22" ht="15" x14ac:dyDescent="0.25">
      <c r="B48" s="224" t="s">
        <v>4</v>
      </c>
      <c r="C48" s="67"/>
      <c r="D48" s="185">
        <f>D42+D24</f>
        <v>1115.4940000000001</v>
      </c>
      <c r="E48" s="67"/>
      <c r="F48" s="235"/>
      <c r="G48" s="71"/>
      <c r="H48" s="62">
        <f>H42+H24</f>
        <v>1073.4013103448276</v>
      </c>
      <c r="I48" s="67"/>
      <c r="J48" s="235"/>
      <c r="K48" s="71"/>
      <c r="L48" s="57">
        <f>L24+L42</f>
        <v>649.81190476190488</v>
      </c>
      <c r="M48" s="4"/>
      <c r="N48" s="222" t="s">
        <v>4</v>
      </c>
      <c r="O48" s="72"/>
    </row>
    <row r="49" spans="2:22" ht="15.75" thickBot="1" x14ac:dyDescent="0.3">
      <c r="B49" s="225"/>
      <c r="C49" s="67"/>
      <c r="D49" s="186">
        <f>D48*100/D46</f>
        <v>14.755211640211639</v>
      </c>
      <c r="E49" s="67"/>
      <c r="F49" s="235"/>
      <c r="G49" s="71"/>
      <c r="H49" s="63">
        <f>H48*100/H46</f>
        <v>14.198430031016237</v>
      </c>
      <c r="I49" s="67"/>
      <c r="J49" s="235"/>
      <c r="K49" s="71"/>
      <c r="L49" s="58">
        <f>L48*100/L46</f>
        <v>8.5953955656336607</v>
      </c>
      <c r="M49" s="4"/>
      <c r="N49" s="223"/>
      <c r="O49" s="72"/>
    </row>
    <row r="50" spans="2:22" ht="15.75" thickBot="1" x14ac:dyDescent="0.3">
      <c r="B50" s="60"/>
      <c r="C50" s="79"/>
      <c r="D50" s="61"/>
      <c r="E50" s="67"/>
      <c r="F50" s="235"/>
      <c r="G50" s="71"/>
      <c r="H50" s="61"/>
      <c r="I50" s="67"/>
      <c r="J50" s="235"/>
      <c r="K50" s="71"/>
      <c r="L50" s="204"/>
      <c r="M50" s="204"/>
      <c r="N50" s="204"/>
      <c r="O50" s="72"/>
    </row>
    <row r="51" spans="2:22" ht="15" thickBot="1" x14ac:dyDescent="0.25">
      <c r="B51" s="67"/>
      <c r="C51" s="67"/>
      <c r="D51" s="24"/>
      <c r="E51" s="67"/>
      <c r="F51" s="235"/>
      <c r="G51" s="71"/>
      <c r="H51" s="24"/>
      <c r="I51" s="67"/>
      <c r="J51" s="235"/>
      <c r="K51" s="71"/>
      <c r="L51" s="24"/>
      <c r="M51" s="67"/>
      <c r="N51" s="35"/>
      <c r="O51" s="72"/>
    </row>
    <row r="52" spans="2:22" x14ac:dyDescent="0.2">
      <c r="B52" s="82" t="s">
        <v>24</v>
      </c>
      <c r="C52" s="67"/>
      <c r="D52" s="130">
        <f>675/3/2</f>
        <v>112.5</v>
      </c>
      <c r="E52" s="67"/>
      <c r="F52" s="235"/>
      <c r="G52" s="71"/>
      <c r="H52" s="130">
        <f>D52</f>
        <v>112.5</v>
      </c>
      <c r="I52" s="67"/>
      <c r="J52" s="235"/>
      <c r="K52" s="71"/>
      <c r="L52" s="226">
        <f>IF(L12&lt;15,600,600+(L12-15)*15)</f>
        <v>600</v>
      </c>
      <c r="M52" s="67"/>
      <c r="N52" s="251" t="s">
        <v>33</v>
      </c>
      <c r="O52" s="72"/>
      <c r="P52" s="280" t="s">
        <v>72</v>
      </c>
      <c r="Q52" s="280"/>
      <c r="R52" s="280"/>
      <c r="S52" s="280"/>
      <c r="T52" s="280"/>
      <c r="U52" s="280"/>
      <c r="V52" s="280"/>
    </row>
    <row r="53" spans="2:22" x14ac:dyDescent="0.2">
      <c r="B53" s="76" t="s">
        <v>25</v>
      </c>
      <c r="C53" s="67"/>
      <c r="D53" s="184">
        <f>D52</f>
        <v>112.5</v>
      </c>
      <c r="E53" s="67"/>
      <c r="F53" s="235"/>
      <c r="G53" s="71"/>
      <c r="H53" s="184">
        <f>D53</f>
        <v>112.5</v>
      </c>
      <c r="I53" s="67"/>
      <c r="J53" s="235"/>
      <c r="K53" s="71"/>
      <c r="L53" s="227"/>
      <c r="M53" s="67"/>
      <c r="N53" s="252"/>
      <c r="O53" s="72"/>
      <c r="P53" s="280" t="s">
        <v>73</v>
      </c>
      <c r="Q53" s="280"/>
      <c r="R53" s="280"/>
      <c r="S53" s="280"/>
      <c r="T53" s="280"/>
      <c r="U53" s="280"/>
      <c r="V53" s="280"/>
    </row>
    <row r="54" spans="2:22" ht="15" customHeight="1" thickBot="1" x14ac:dyDescent="0.25">
      <c r="B54" s="73" t="s">
        <v>26</v>
      </c>
      <c r="C54" s="67"/>
      <c r="D54" s="183">
        <v>0</v>
      </c>
      <c r="E54" s="67"/>
      <c r="F54" s="235"/>
      <c r="G54" s="71"/>
      <c r="H54" s="183">
        <v>0</v>
      </c>
      <c r="I54" s="67"/>
      <c r="J54" s="235"/>
      <c r="K54" s="71"/>
      <c r="L54" s="228"/>
      <c r="M54" s="67"/>
      <c r="N54" s="253"/>
      <c r="O54" s="72"/>
      <c r="P54" s="280" t="s">
        <v>74</v>
      </c>
      <c r="Q54" s="280"/>
      <c r="R54" s="280"/>
      <c r="S54" s="280"/>
      <c r="T54" s="280"/>
      <c r="U54" s="280"/>
      <c r="V54" s="280"/>
    </row>
    <row r="55" spans="2:22" ht="15" thickBot="1" x14ac:dyDescent="0.25">
      <c r="E55" s="67"/>
      <c r="F55" s="235"/>
      <c r="G55" s="71"/>
      <c r="I55" s="67"/>
      <c r="J55" s="235"/>
      <c r="K55" s="71"/>
      <c r="N55" s="78"/>
      <c r="O55" s="72"/>
    </row>
    <row r="56" spans="2:22" ht="15.75" thickBot="1" x14ac:dyDescent="0.3">
      <c r="B56" s="92" t="s">
        <v>3</v>
      </c>
      <c r="C56" s="67"/>
      <c r="D56" s="187">
        <f>D54+D52+D53</f>
        <v>225</v>
      </c>
      <c r="E56" s="67"/>
      <c r="F56" s="235"/>
      <c r="G56" s="71"/>
      <c r="H56" s="93">
        <f>H53+H52+H54</f>
        <v>225</v>
      </c>
      <c r="I56" s="67"/>
      <c r="J56" s="235"/>
      <c r="K56" s="71"/>
      <c r="L56" s="94">
        <f>L53+L52+L54</f>
        <v>600</v>
      </c>
      <c r="M56" s="4"/>
      <c r="N56" s="95" t="s">
        <v>3</v>
      </c>
      <c r="O56" s="72"/>
    </row>
    <row r="57" spans="2:22" ht="15" thickBot="1" x14ac:dyDescent="0.25">
      <c r="B57" s="84"/>
      <c r="C57" s="84"/>
      <c r="D57" s="25"/>
      <c r="E57" s="67"/>
      <c r="F57" s="235"/>
      <c r="G57" s="71"/>
      <c r="H57" s="25"/>
      <c r="I57" s="67"/>
      <c r="J57" s="235"/>
      <c r="K57" s="71"/>
      <c r="L57" s="25"/>
      <c r="M57" s="84"/>
      <c r="N57" s="41"/>
      <c r="O57" s="72"/>
    </row>
    <row r="58" spans="2:22" ht="15" thickBot="1" x14ac:dyDescent="0.25">
      <c r="B58" s="67"/>
      <c r="C58" s="67"/>
      <c r="D58" s="24"/>
      <c r="E58" s="67"/>
      <c r="F58" s="235"/>
      <c r="G58" s="71"/>
      <c r="H58" s="24"/>
      <c r="I58" s="67"/>
      <c r="J58" s="235"/>
      <c r="K58" s="71"/>
      <c r="L58" s="24" t="s">
        <v>5</v>
      </c>
      <c r="M58" s="67"/>
      <c r="N58" s="35"/>
      <c r="O58" s="72"/>
    </row>
    <row r="59" spans="2:22" ht="15" x14ac:dyDescent="0.25">
      <c r="B59" s="224" t="s">
        <v>27</v>
      </c>
      <c r="C59" s="67"/>
      <c r="D59" s="185">
        <f>D48+D56</f>
        <v>1340.4940000000001</v>
      </c>
      <c r="E59" s="67"/>
      <c r="F59" s="235"/>
      <c r="G59" s="71"/>
      <c r="H59" s="62">
        <f>H48+H56</f>
        <v>1298.4013103448276</v>
      </c>
      <c r="I59" s="67"/>
      <c r="J59" s="235"/>
      <c r="K59" s="71"/>
      <c r="L59" s="57">
        <f>L48+L56</f>
        <v>1249.8119047619048</v>
      </c>
      <c r="M59" s="67"/>
      <c r="N59" s="222" t="s">
        <v>27</v>
      </c>
      <c r="O59" s="72"/>
      <c r="P59" s="274" t="s">
        <v>79</v>
      </c>
      <c r="Q59" s="275"/>
      <c r="R59" s="275"/>
      <c r="S59" s="275"/>
      <c r="T59" s="275"/>
      <c r="U59" s="275"/>
      <c r="V59" s="276"/>
    </row>
    <row r="60" spans="2:22" ht="15.75" thickBot="1" x14ac:dyDescent="0.3">
      <c r="B60" s="225"/>
      <c r="C60" s="67"/>
      <c r="D60" s="186">
        <f>D59*100/D46</f>
        <v>17.731402116402116</v>
      </c>
      <c r="E60" s="67"/>
      <c r="F60" s="235"/>
      <c r="G60" s="71"/>
      <c r="H60" s="63">
        <f>H59*100/H46</f>
        <v>17.174620507206711</v>
      </c>
      <c r="I60" s="4"/>
      <c r="J60" s="235"/>
      <c r="K60" s="48"/>
      <c r="L60" s="58">
        <f>L59*100/L46</f>
        <v>16.531903502141596</v>
      </c>
      <c r="M60" s="6"/>
      <c r="N60" s="223"/>
      <c r="O60" s="42"/>
      <c r="P60" s="277"/>
      <c r="Q60" s="278"/>
      <c r="R60" s="278"/>
      <c r="S60" s="278"/>
      <c r="T60" s="278"/>
      <c r="U60" s="278"/>
      <c r="V60" s="279"/>
    </row>
    <row r="61" spans="2:22" x14ac:dyDescent="0.2">
      <c r="B61" s="67"/>
      <c r="C61" s="67"/>
      <c r="D61" s="24"/>
      <c r="E61" s="67"/>
      <c r="F61" s="236"/>
      <c r="G61" s="71"/>
      <c r="H61" s="24"/>
      <c r="I61" s="4"/>
      <c r="J61" s="236"/>
      <c r="K61" s="48"/>
      <c r="L61" s="24"/>
      <c r="M61" s="67"/>
      <c r="N61" s="35"/>
      <c r="O61" s="42"/>
    </row>
    <row r="62" spans="2:22" ht="15.75" thickBot="1" x14ac:dyDescent="0.3">
      <c r="B62" s="67"/>
      <c r="C62" s="67"/>
      <c r="D62" s="24"/>
      <c r="E62" s="67"/>
      <c r="F62" s="67"/>
      <c r="G62" s="67"/>
      <c r="H62" s="24"/>
      <c r="I62" s="59"/>
      <c r="J62" s="80"/>
      <c r="K62" s="59"/>
      <c r="L62" s="152" t="s">
        <v>80</v>
      </c>
      <c r="M62" s="67"/>
      <c r="N62" s="35"/>
      <c r="O62" s="42"/>
    </row>
    <row r="63" spans="2:22" x14ac:dyDescent="0.2">
      <c r="B63" s="67"/>
      <c r="C63" s="67"/>
      <c r="D63" s="24"/>
      <c r="E63" s="67"/>
      <c r="F63" s="67"/>
      <c r="G63" s="67"/>
      <c r="H63" s="24"/>
      <c r="I63" s="67"/>
      <c r="J63" s="80"/>
      <c r="K63" s="81"/>
      <c r="L63" s="153">
        <f>L24</f>
        <v>501.4285714285715</v>
      </c>
      <c r="N63" s="155" t="s">
        <v>62</v>
      </c>
      <c r="O63" s="72"/>
    </row>
    <row r="64" spans="2:22" ht="15" thickBot="1" x14ac:dyDescent="0.25">
      <c r="B64" s="67"/>
      <c r="C64" s="67"/>
      <c r="D64" s="24"/>
      <c r="E64" s="42"/>
      <c r="F64" s="72"/>
      <c r="G64" s="42"/>
      <c r="H64" s="24"/>
      <c r="I64" s="67"/>
      <c r="J64" s="80"/>
      <c r="K64" s="81"/>
      <c r="L64" s="154">
        <f>L97</f>
        <v>600</v>
      </c>
      <c r="N64" s="156" t="s">
        <v>33</v>
      </c>
      <c r="O64" s="72"/>
    </row>
    <row r="65" spans="2:26" ht="15.75" thickBot="1" x14ac:dyDescent="0.3">
      <c r="B65" s="67"/>
      <c r="C65" s="67"/>
      <c r="D65" s="24"/>
      <c r="E65" s="42"/>
      <c r="F65" s="80"/>
      <c r="G65" s="72"/>
      <c r="H65" s="24"/>
      <c r="I65" s="67"/>
      <c r="J65" s="80"/>
      <c r="K65" s="81"/>
      <c r="L65" s="158">
        <f>L63+L64</f>
        <v>1101.4285714285716</v>
      </c>
      <c r="N65" s="158" t="s">
        <v>63</v>
      </c>
      <c r="O65" s="72"/>
    </row>
    <row r="66" spans="2:26" ht="15" thickBot="1" x14ac:dyDescent="0.25">
      <c r="B66" s="67"/>
      <c r="C66" s="67"/>
      <c r="D66" s="24"/>
      <c r="E66" s="42"/>
      <c r="F66" s="80"/>
      <c r="G66" s="72"/>
      <c r="H66" s="24"/>
      <c r="I66" s="67"/>
      <c r="J66" s="80"/>
      <c r="K66" s="81"/>
      <c r="O66" s="72"/>
    </row>
    <row r="67" spans="2:26" ht="15.75" thickBot="1" x14ac:dyDescent="0.3">
      <c r="B67" s="67"/>
      <c r="C67" s="67"/>
      <c r="D67" s="24"/>
      <c r="E67" s="72"/>
      <c r="F67" s="80"/>
      <c r="G67" s="72"/>
      <c r="H67" s="24"/>
      <c r="J67" s="80"/>
      <c r="K67" s="83"/>
      <c r="L67" s="158">
        <f>L101</f>
        <v>148.38333333333335</v>
      </c>
      <c r="N67" s="161" t="s">
        <v>70</v>
      </c>
      <c r="O67" s="78"/>
    </row>
    <row r="68" spans="2:26" ht="15" thickBot="1" x14ac:dyDescent="0.25">
      <c r="B68" s="84"/>
      <c r="C68" s="84"/>
      <c r="D68" s="25"/>
      <c r="E68" s="72"/>
      <c r="F68" s="80"/>
      <c r="G68" s="78"/>
      <c r="H68" s="25"/>
      <c r="J68" s="80"/>
      <c r="K68" s="83"/>
      <c r="L68" s="25"/>
      <c r="M68" s="84"/>
      <c r="N68" s="41"/>
      <c r="O68" s="78"/>
    </row>
    <row r="69" spans="2:26" x14ac:dyDescent="0.2">
      <c r="B69" s="67"/>
      <c r="C69" s="67"/>
      <c r="D69" s="24"/>
      <c r="E69" s="72"/>
      <c r="F69" s="80"/>
      <c r="G69" s="78"/>
      <c r="H69" s="24"/>
      <c r="J69" s="80"/>
      <c r="K69" s="83"/>
      <c r="L69" s="24"/>
      <c r="M69" s="67"/>
      <c r="N69" s="35"/>
      <c r="O69" s="78"/>
    </row>
    <row r="70" spans="2:26" x14ac:dyDescent="0.2">
      <c r="B70" s="67"/>
      <c r="C70" s="67"/>
      <c r="D70" s="24"/>
      <c r="E70" s="78"/>
      <c r="F70" s="80"/>
      <c r="G70" s="78"/>
      <c r="H70" s="24"/>
      <c r="J70" s="80"/>
      <c r="K70" s="83"/>
      <c r="L70" s="24"/>
      <c r="M70" s="67"/>
      <c r="N70" s="35"/>
      <c r="O70" s="78"/>
    </row>
    <row r="71" spans="2:26" x14ac:dyDescent="0.2">
      <c r="B71" s="237" t="s">
        <v>42</v>
      </c>
      <c r="C71" s="238"/>
      <c r="D71" s="238"/>
      <c r="E71" s="238"/>
      <c r="F71" s="238"/>
      <c r="G71" s="238"/>
      <c r="H71" s="239"/>
      <c r="I71" s="67"/>
      <c r="J71" s="229"/>
      <c r="K71" s="67"/>
      <c r="L71" s="241" t="s">
        <v>67</v>
      </c>
      <c r="M71" s="241"/>
      <c r="N71" s="241"/>
      <c r="O71" s="78"/>
    </row>
    <row r="72" spans="2:26" ht="15.75" thickBot="1" x14ac:dyDescent="0.3">
      <c r="B72" s="67"/>
      <c r="C72" s="67"/>
      <c r="D72" s="24"/>
      <c r="E72" s="4"/>
      <c r="F72" s="67"/>
      <c r="G72" s="67"/>
      <c r="H72" s="24"/>
      <c r="I72" s="6"/>
      <c r="J72" s="230"/>
      <c r="K72" s="51"/>
      <c r="L72" s="24"/>
      <c r="M72" s="67"/>
      <c r="N72" s="35"/>
      <c r="O72" s="72"/>
      <c r="P72" s="85"/>
    </row>
    <row r="73" spans="2:26" ht="15" x14ac:dyDescent="0.25">
      <c r="B73" s="82" t="s">
        <v>103</v>
      </c>
      <c r="C73" s="67"/>
      <c r="D73" s="33"/>
      <c r="E73" s="72"/>
      <c r="F73" s="233"/>
      <c r="G73" s="72"/>
      <c r="H73" s="131">
        <v>22624</v>
      </c>
      <c r="I73" s="67"/>
      <c r="J73" s="230"/>
      <c r="K73" s="71"/>
      <c r="L73" s="54">
        <v>9950</v>
      </c>
      <c r="M73" s="67"/>
      <c r="N73" s="82" t="s">
        <v>38</v>
      </c>
      <c r="O73" s="72"/>
      <c r="P73" s="86"/>
    </row>
    <row r="74" spans="2:26" ht="15" customHeight="1" x14ac:dyDescent="0.25">
      <c r="B74" s="76" t="s">
        <v>28</v>
      </c>
      <c r="C74" s="67"/>
      <c r="D74" s="34"/>
      <c r="E74" s="72"/>
      <c r="F74" s="233"/>
      <c r="G74" s="46"/>
      <c r="H74" s="132">
        <v>0</v>
      </c>
      <c r="I74" s="67"/>
      <c r="J74" s="230"/>
      <c r="K74" s="71"/>
      <c r="L74" s="98">
        <f>H74</f>
        <v>0</v>
      </c>
      <c r="M74" s="67"/>
      <c r="N74" s="76" t="s">
        <v>40</v>
      </c>
      <c r="O74" s="72"/>
      <c r="W74" s="123"/>
      <c r="X74" s="123"/>
      <c r="Y74" s="123"/>
      <c r="Z74" s="123"/>
    </row>
    <row r="75" spans="2:26" ht="15" x14ac:dyDescent="0.25">
      <c r="B75" s="231" t="s">
        <v>39</v>
      </c>
      <c r="C75" s="67"/>
      <c r="D75" s="34"/>
      <c r="E75" s="72"/>
      <c r="F75" s="233"/>
      <c r="G75" s="72"/>
      <c r="H75" s="97">
        <f>L75</f>
        <v>0.35</v>
      </c>
      <c r="I75" s="67"/>
      <c r="J75" s="230"/>
      <c r="K75" s="71"/>
      <c r="L75" s="122">
        <v>0.35</v>
      </c>
      <c r="M75" s="67"/>
      <c r="N75" s="96" t="s">
        <v>51</v>
      </c>
      <c r="O75" s="46"/>
      <c r="W75" s="123"/>
      <c r="X75" s="123"/>
      <c r="Y75" s="123"/>
      <c r="Z75" s="123"/>
    </row>
    <row r="76" spans="2:26" ht="15.75" thickBot="1" x14ac:dyDescent="0.3">
      <c r="B76" s="232"/>
      <c r="C76" s="67"/>
      <c r="D76" s="33"/>
      <c r="E76" s="46"/>
      <c r="F76" s="233"/>
      <c r="G76" s="72"/>
      <c r="H76" s="55">
        <f>(H74+H73)*H75</f>
        <v>7918.4</v>
      </c>
      <c r="I76" s="67"/>
      <c r="J76" s="230"/>
      <c r="K76" s="71"/>
      <c r="L76" s="55">
        <f>L74*L75</f>
        <v>0</v>
      </c>
      <c r="M76" s="67"/>
      <c r="N76" s="73" t="s">
        <v>52</v>
      </c>
      <c r="O76" s="72"/>
      <c r="P76" s="86"/>
    </row>
    <row r="77" spans="2:26" ht="15.75" thickBot="1" x14ac:dyDescent="0.3">
      <c r="B77" s="81"/>
      <c r="C77" s="67"/>
      <c r="D77" s="33"/>
      <c r="E77" s="72"/>
      <c r="F77" s="233"/>
      <c r="G77" s="72"/>
      <c r="H77" s="33"/>
      <c r="I77" s="67"/>
      <c r="J77" s="230"/>
      <c r="K77" s="71"/>
      <c r="L77" s="33"/>
      <c r="M77" s="67"/>
      <c r="N77" s="81"/>
      <c r="O77" s="72"/>
      <c r="P77" s="86"/>
    </row>
    <row r="78" spans="2:26" ht="15.75" thickBot="1" x14ac:dyDescent="0.3">
      <c r="B78" s="19" t="s">
        <v>41</v>
      </c>
      <c r="C78" s="67"/>
      <c r="D78" s="33"/>
      <c r="E78" s="72"/>
      <c r="F78" s="233"/>
      <c r="G78" s="72"/>
      <c r="H78" s="99">
        <f>H73+H74-H76</f>
        <v>14705.6</v>
      </c>
      <c r="I78" s="67"/>
      <c r="J78" s="230"/>
      <c r="K78" s="71"/>
      <c r="L78" s="99">
        <f>L73+L74-L76</f>
        <v>9950</v>
      </c>
      <c r="M78" s="67"/>
      <c r="N78" s="19" t="s">
        <v>41</v>
      </c>
      <c r="O78" s="72"/>
      <c r="P78" s="86"/>
    </row>
    <row r="79" spans="2:26" ht="15.75" thickBot="1" x14ac:dyDescent="0.3">
      <c r="B79" s="84"/>
      <c r="C79" s="84"/>
      <c r="D79" s="121"/>
      <c r="E79" s="72"/>
      <c r="F79" s="233"/>
      <c r="G79" s="72"/>
      <c r="H79" s="121"/>
      <c r="I79" s="67"/>
      <c r="J79" s="81"/>
      <c r="K79" s="81"/>
      <c r="L79" s="121"/>
      <c r="M79" s="84"/>
      <c r="N79" s="84"/>
      <c r="O79" s="72"/>
      <c r="P79" s="86"/>
    </row>
    <row r="80" spans="2:26" ht="15.75" thickBot="1" x14ac:dyDescent="0.3">
      <c r="B80" s="81"/>
      <c r="C80" s="67"/>
      <c r="D80" s="33"/>
      <c r="E80" s="72"/>
      <c r="F80" s="233"/>
      <c r="G80" s="72"/>
      <c r="H80" s="33"/>
      <c r="I80" s="67"/>
      <c r="J80" s="80"/>
      <c r="K80" s="81"/>
      <c r="L80" s="33"/>
      <c r="M80" s="67"/>
      <c r="N80" s="81"/>
      <c r="O80" s="72"/>
      <c r="P80" s="86"/>
    </row>
    <row r="81" spans="2:22" ht="15" x14ac:dyDescent="0.25">
      <c r="B81" s="82" t="s">
        <v>29</v>
      </c>
      <c r="C81" s="67"/>
      <c r="D81" s="34"/>
      <c r="E81" s="72"/>
      <c r="F81" s="233"/>
      <c r="G81" s="72"/>
      <c r="H81" s="131">
        <v>0</v>
      </c>
      <c r="I81" s="72"/>
      <c r="J81" s="80"/>
      <c r="K81" s="72"/>
      <c r="L81" s="54">
        <f>H81</f>
        <v>0</v>
      </c>
      <c r="N81" s="82" t="s">
        <v>29</v>
      </c>
      <c r="O81" s="72"/>
      <c r="P81" s="86"/>
    </row>
    <row r="82" spans="2:22" ht="15" x14ac:dyDescent="0.25">
      <c r="B82" s="76" t="s">
        <v>54</v>
      </c>
      <c r="C82" s="67"/>
      <c r="D82" s="33"/>
      <c r="E82" s="67"/>
      <c r="F82" s="81"/>
      <c r="G82" s="81"/>
      <c r="H82" s="132">
        <v>1000</v>
      </c>
      <c r="I82" s="72"/>
      <c r="J82" s="215"/>
      <c r="K82" s="72"/>
      <c r="L82" s="125">
        <v>1000</v>
      </c>
      <c r="M82" s="67"/>
      <c r="N82" s="76" t="s">
        <v>54</v>
      </c>
      <c r="O82" s="72"/>
      <c r="P82" s="86"/>
    </row>
    <row r="83" spans="2:22" ht="15.75" thickBot="1" x14ac:dyDescent="0.3">
      <c r="B83" s="73" t="s">
        <v>30</v>
      </c>
      <c r="C83" s="67"/>
      <c r="D83" s="33"/>
      <c r="E83" s="81"/>
      <c r="F83" s="80"/>
      <c r="G83" s="81"/>
      <c r="H83" s="133">
        <f>(H81+H82)*0.2</f>
        <v>200</v>
      </c>
      <c r="I83" s="67"/>
      <c r="J83" s="118"/>
      <c r="K83" s="71"/>
      <c r="L83" s="55">
        <f>(L82+L81)*0.2</f>
        <v>200</v>
      </c>
      <c r="M83" s="67"/>
      <c r="N83" s="73" t="s">
        <v>30</v>
      </c>
      <c r="O83" s="72"/>
      <c r="P83" s="86"/>
    </row>
    <row r="84" spans="2:22" ht="15" thickBot="1" x14ac:dyDescent="0.25">
      <c r="D84" s="78"/>
      <c r="E84" s="81"/>
      <c r="F84" s="213"/>
      <c r="G84" s="81"/>
      <c r="I84" s="67"/>
      <c r="J84" s="118"/>
      <c r="K84" s="71"/>
      <c r="N84" s="78"/>
      <c r="O84" s="72"/>
      <c r="P84" s="86"/>
    </row>
    <row r="85" spans="2:22" ht="15.75" thickBot="1" x14ac:dyDescent="0.3">
      <c r="B85" s="19" t="s">
        <v>41</v>
      </c>
      <c r="C85" s="67"/>
      <c r="D85" s="33"/>
      <c r="E85" s="81"/>
      <c r="F85" s="213"/>
      <c r="G85" s="81"/>
      <c r="H85" s="99">
        <f>H78+H81+H82-H83</f>
        <v>15505.6</v>
      </c>
      <c r="I85" s="67"/>
      <c r="J85" s="118"/>
      <c r="K85" s="71"/>
      <c r="L85" s="99">
        <f>L78+L81+L82-L83</f>
        <v>10750</v>
      </c>
      <c r="M85" s="67"/>
      <c r="N85" s="19" t="s">
        <v>41</v>
      </c>
      <c r="O85" s="72"/>
      <c r="P85" s="86"/>
    </row>
    <row r="86" spans="2:22" ht="15" thickBot="1" x14ac:dyDescent="0.25">
      <c r="B86" s="67"/>
      <c r="C86" s="67"/>
      <c r="D86" s="35"/>
      <c r="E86" s="213"/>
      <c r="F86" s="214"/>
      <c r="G86" s="214"/>
      <c r="H86" s="24"/>
      <c r="I86" s="67"/>
      <c r="J86" s="118"/>
      <c r="K86" s="71"/>
      <c r="L86" s="24"/>
      <c r="M86" s="67"/>
      <c r="N86" s="35"/>
      <c r="O86" s="72"/>
      <c r="P86" s="86"/>
    </row>
    <row r="87" spans="2:22" x14ac:dyDescent="0.2">
      <c r="B87" s="82" t="s">
        <v>0</v>
      </c>
      <c r="C87" s="67"/>
      <c r="D87" s="36"/>
      <c r="E87" s="213"/>
      <c r="F87" s="213"/>
      <c r="G87" s="81"/>
      <c r="H87" s="134">
        <v>25</v>
      </c>
      <c r="I87" s="67"/>
      <c r="J87" s="118"/>
      <c r="K87" s="71"/>
      <c r="L87" s="52">
        <f>H87</f>
        <v>25</v>
      </c>
      <c r="M87" s="67"/>
      <c r="N87" s="82" t="s">
        <v>0</v>
      </c>
      <c r="O87" s="72"/>
      <c r="P87" s="86"/>
    </row>
    <row r="88" spans="2:22" ht="15" thickBot="1" x14ac:dyDescent="0.25">
      <c r="B88" s="73" t="s">
        <v>1</v>
      </c>
      <c r="C88" s="67"/>
      <c r="D88" s="2"/>
      <c r="E88" s="214"/>
      <c r="F88" s="213"/>
      <c r="G88" s="81"/>
      <c r="H88" s="135">
        <v>0.02</v>
      </c>
      <c r="I88" s="67"/>
      <c r="J88" s="118"/>
      <c r="K88" s="71"/>
      <c r="L88" s="53">
        <f>H88</f>
        <v>0.02</v>
      </c>
      <c r="M88" s="67"/>
      <c r="N88" s="73" t="s">
        <v>1</v>
      </c>
      <c r="O88" s="72"/>
      <c r="P88" s="86"/>
    </row>
    <row r="89" spans="2:22" ht="15.75" thickBot="1" x14ac:dyDescent="0.3">
      <c r="B89" s="67"/>
      <c r="C89" s="67"/>
      <c r="D89" s="2"/>
      <c r="E89" s="213"/>
      <c r="F89" s="33"/>
      <c r="G89" s="81"/>
      <c r="H89" s="2"/>
      <c r="I89" s="67"/>
      <c r="J89" s="118"/>
      <c r="K89" s="71"/>
      <c r="L89" s="2"/>
      <c r="M89" s="67"/>
      <c r="N89" s="2"/>
      <c r="O89" s="72"/>
      <c r="P89" s="86"/>
    </row>
    <row r="90" spans="2:22" ht="16.5" thickBot="1" x14ac:dyDescent="0.3">
      <c r="B90" s="216" t="s">
        <v>6</v>
      </c>
      <c r="C90" s="67"/>
      <c r="D90" s="37"/>
      <c r="E90" s="24"/>
      <c r="F90" s="34"/>
      <c r="G90" s="67"/>
      <c r="H90" s="93">
        <f>-PMT(H88,H87,H85,0)</f>
        <v>794.20362992475555</v>
      </c>
      <c r="I90" s="67"/>
      <c r="J90" s="118"/>
      <c r="K90" s="71"/>
      <c r="L90" s="94">
        <f>-PMT(L88,L87,L85,0)</f>
        <v>550.61971298699325</v>
      </c>
      <c r="M90" s="4"/>
      <c r="N90" s="217" t="s">
        <v>6</v>
      </c>
      <c r="O90" s="72"/>
      <c r="P90" s="86"/>
      <c r="Q90" s="160"/>
    </row>
    <row r="91" spans="2:22" ht="15.75" thickBot="1" x14ac:dyDescent="0.3">
      <c r="E91" s="33"/>
      <c r="F91" s="34"/>
      <c r="G91" s="67"/>
      <c r="I91" s="67"/>
      <c r="J91" s="118"/>
      <c r="K91" s="71"/>
      <c r="N91" s="78"/>
      <c r="O91" s="72"/>
    </row>
    <row r="92" spans="2:22" ht="15" customHeight="1" x14ac:dyDescent="0.25">
      <c r="B92" s="224" t="s">
        <v>75</v>
      </c>
      <c r="C92" s="67"/>
      <c r="D92" s="36"/>
      <c r="E92" s="34"/>
      <c r="F92" s="33"/>
      <c r="G92" s="67"/>
      <c r="H92" s="62">
        <f>H90+H56+H48</f>
        <v>2092.604940269583</v>
      </c>
      <c r="I92" s="67"/>
      <c r="J92" s="118"/>
      <c r="K92" s="71"/>
      <c r="L92" s="57">
        <f>L90+L56+L48</f>
        <v>1800.4316177488981</v>
      </c>
      <c r="M92" s="67"/>
      <c r="N92" s="222" t="s">
        <v>75</v>
      </c>
      <c r="O92" s="72"/>
      <c r="P92" s="274" t="s">
        <v>77</v>
      </c>
      <c r="Q92" s="275"/>
      <c r="R92" s="275"/>
      <c r="S92" s="275"/>
      <c r="T92" s="275"/>
      <c r="U92" s="275"/>
      <c r="V92" s="276"/>
    </row>
    <row r="93" spans="2:22" ht="15.75" thickBot="1" x14ac:dyDescent="0.3">
      <c r="B93" s="225"/>
      <c r="C93" s="67"/>
      <c r="D93" s="36"/>
      <c r="E93" s="34"/>
      <c r="F93" s="33"/>
      <c r="G93" s="67"/>
      <c r="H93" s="63">
        <f>H92/H46*100</f>
        <v>27.679959527375438</v>
      </c>
      <c r="I93" s="67"/>
      <c r="J93" s="118"/>
      <c r="K93" s="71"/>
      <c r="L93" s="58">
        <f>L92/L46*100</f>
        <v>23.815233039006586</v>
      </c>
      <c r="M93" s="6"/>
      <c r="N93" s="223"/>
      <c r="O93" s="72"/>
      <c r="P93" s="277"/>
      <c r="Q93" s="278"/>
      <c r="R93" s="278"/>
      <c r="S93" s="278"/>
      <c r="T93" s="278"/>
      <c r="U93" s="278"/>
      <c r="V93" s="279"/>
    </row>
    <row r="94" spans="2:22" ht="15" x14ac:dyDescent="0.25">
      <c r="E94" s="33"/>
      <c r="F94" s="33"/>
      <c r="G94" s="67"/>
      <c r="I94" s="67"/>
      <c r="J94" s="118"/>
      <c r="K94" s="71"/>
      <c r="O94" s="72"/>
    </row>
    <row r="95" spans="2:22" ht="15.75" thickBot="1" x14ac:dyDescent="0.3">
      <c r="D95" s="83"/>
      <c r="E95" s="33"/>
      <c r="F95" s="33"/>
      <c r="G95" s="81"/>
      <c r="H95" s="83"/>
      <c r="I95" s="67"/>
      <c r="J95" s="118"/>
      <c r="K95" s="71"/>
      <c r="L95" s="152" t="s">
        <v>80</v>
      </c>
      <c r="O95" s="72"/>
    </row>
    <row r="96" spans="2:22" ht="15" x14ac:dyDescent="0.25">
      <c r="D96" s="83"/>
      <c r="E96" s="33"/>
      <c r="F96" s="33"/>
      <c r="G96" s="81"/>
      <c r="H96" s="83"/>
      <c r="I96" s="67"/>
      <c r="J96" s="118"/>
      <c r="K96" s="71"/>
      <c r="L96" s="153">
        <f>L24</f>
        <v>501.4285714285715</v>
      </c>
      <c r="N96" s="155" t="s">
        <v>62</v>
      </c>
      <c r="O96" s="72"/>
    </row>
    <row r="97" spans="4:26" ht="15" x14ac:dyDescent="0.25">
      <c r="D97" s="83"/>
      <c r="E97" s="33"/>
      <c r="F97" s="34"/>
      <c r="G97" s="81"/>
      <c r="H97" s="83"/>
      <c r="I97" s="67"/>
      <c r="J97" s="118"/>
      <c r="K97" s="71"/>
      <c r="L97" s="154">
        <f>L52</f>
        <v>600</v>
      </c>
      <c r="N97" s="156" t="s">
        <v>33</v>
      </c>
      <c r="O97" s="72"/>
    </row>
    <row r="98" spans="4:26" ht="15.75" thickBot="1" x14ac:dyDescent="0.3">
      <c r="D98" s="218"/>
      <c r="E98" s="33"/>
      <c r="F98" s="33"/>
      <c r="G98" s="81"/>
      <c r="H98" s="218"/>
      <c r="J98" s="118"/>
      <c r="K98" s="77"/>
      <c r="L98" s="157">
        <f>-PMT(L88,L87,L73)</f>
        <v>509.64336225307744</v>
      </c>
      <c r="N98" s="157" t="s">
        <v>69</v>
      </c>
      <c r="O98" s="78"/>
      <c r="P98" s="281" t="s">
        <v>76</v>
      </c>
      <c r="Q98" s="282"/>
      <c r="R98" s="282"/>
      <c r="S98" s="282"/>
      <c r="T98" s="282"/>
      <c r="U98" s="282"/>
      <c r="V98" s="283"/>
    </row>
    <row r="99" spans="4:26" ht="15.75" thickBot="1" x14ac:dyDescent="0.3">
      <c r="D99" s="219"/>
      <c r="E99" s="34"/>
      <c r="F99" s="33"/>
      <c r="G99" s="81"/>
      <c r="H99" s="83"/>
      <c r="I99" s="67"/>
      <c r="J99" s="118"/>
      <c r="K99" s="71"/>
      <c r="L99" s="158">
        <f>L96+L97+L98</f>
        <v>1611.0719336816489</v>
      </c>
      <c r="N99" s="158" t="s">
        <v>63</v>
      </c>
      <c r="O99" s="72"/>
    </row>
    <row r="100" spans="4:26" ht="14.25" customHeight="1" thickBot="1" x14ac:dyDescent="0.3">
      <c r="D100" s="218"/>
      <c r="E100" s="33"/>
      <c r="F100" s="78"/>
      <c r="G100" s="83"/>
      <c r="H100" s="83"/>
      <c r="I100" s="67"/>
      <c r="J100" s="118"/>
      <c r="K100" s="71"/>
      <c r="O100" s="72"/>
    </row>
    <row r="101" spans="4:26" ht="15.75" thickBot="1" x14ac:dyDescent="0.3">
      <c r="D101" s="85"/>
      <c r="E101" s="33"/>
      <c r="F101" s="33"/>
      <c r="G101" s="67"/>
      <c r="I101" s="67"/>
      <c r="J101" s="118"/>
      <c r="K101" s="71"/>
      <c r="L101" s="158">
        <f>L42</f>
        <v>148.38333333333335</v>
      </c>
      <c r="N101" s="161" t="s">
        <v>70</v>
      </c>
      <c r="O101" s="78"/>
    </row>
    <row r="102" spans="4:26" ht="15" thickBot="1" x14ac:dyDescent="0.25">
      <c r="D102" s="85"/>
      <c r="E102" s="78"/>
      <c r="F102" s="35"/>
      <c r="G102" s="67"/>
      <c r="I102" s="67"/>
      <c r="J102" s="118"/>
      <c r="K102" s="71"/>
      <c r="O102" s="72"/>
    </row>
    <row r="103" spans="4:26" ht="15" x14ac:dyDescent="0.25">
      <c r="E103" s="33"/>
      <c r="F103" s="36"/>
      <c r="G103" s="67"/>
      <c r="I103" s="67"/>
      <c r="J103" s="118"/>
      <c r="K103" s="71"/>
      <c r="L103" s="153">
        <f>-PMT(L88,L87,L74-L76)</f>
        <v>0</v>
      </c>
      <c r="N103" s="155" t="s">
        <v>40</v>
      </c>
      <c r="O103" s="72"/>
    </row>
    <row r="104" spans="4:26" ht="15" thickBot="1" x14ac:dyDescent="0.25">
      <c r="E104" s="35"/>
      <c r="F104" s="2"/>
      <c r="G104" s="67"/>
      <c r="I104" s="4"/>
      <c r="J104" s="118"/>
      <c r="K104" s="48"/>
      <c r="L104" s="157">
        <f>-PMT(L88,L87,L82-L83)</f>
        <v>40.97635073391578</v>
      </c>
      <c r="N104" s="157" t="s">
        <v>29</v>
      </c>
      <c r="O104" s="72"/>
    </row>
    <row r="105" spans="4:26" ht="15.75" thickBot="1" x14ac:dyDescent="0.3">
      <c r="E105" s="36"/>
      <c r="F105" s="2"/>
      <c r="G105" s="67"/>
      <c r="J105" s="118"/>
      <c r="K105" s="77"/>
      <c r="L105" s="158">
        <f>L104+L103</f>
        <v>40.97635073391578</v>
      </c>
      <c r="N105" s="158" t="s">
        <v>68</v>
      </c>
      <c r="O105" s="72"/>
    </row>
    <row r="106" spans="4:26" ht="15" x14ac:dyDescent="0.25">
      <c r="E106" s="2"/>
      <c r="F106" s="37"/>
      <c r="G106" s="4"/>
      <c r="I106" s="67"/>
      <c r="J106" s="119"/>
      <c r="K106" s="71"/>
      <c r="O106" s="72"/>
    </row>
    <row r="107" spans="4:26" ht="15" x14ac:dyDescent="0.25">
      <c r="E107" s="2"/>
      <c r="I107" s="6"/>
      <c r="K107" s="51"/>
      <c r="L107" s="85"/>
      <c r="O107" s="42"/>
    </row>
    <row r="108" spans="4:26" ht="15" x14ac:dyDescent="0.25">
      <c r="E108" s="37"/>
      <c r="F108" s="36"/>
      <c r="G108" s="67"/>
      <c r="O108" s="78"/>
    </row>
    <row r="109" spans="4:26" ht="15" customHeight="1" x14ac:dyDescent="0.25">
      <c r="F109" s="36"/>
      <c r="G109" s="6"/>
      <c r="L109" s="85"/>
      <c r="O109" s="72"/>
      <c r="W109" s="123"/>
      <c r="X109" s="123"/>
      <c r="Y109" s="123"/>
      <c r="Z109" s="123"/>
    </row>
    <row r="110" spans="4:26" ht="15" x14ac:dyDescent="0.25">
      <c r="E110" s="36"/>
      <c r="O110" s="46"/>
      <c r="W110" s="123"/>
      <c r="X110" s="123"/>
      <c r="Y110" s="123"/>
      <c r="Z110" s="123"/>
    </row>
    <row r="111" spans="4:26" x14ac:dyDescent="0.2">
      <c r="E111" s="36"/>
    </row>
    <row r="114" spans="5:23" x14ac:dyDescent="0.2">
      <c r="F114" s="85"/>
    </row>
    <row r="115" spans="5:23" x14ac:dyDescent="0.2">
      <c r="F115" s="87"/>
      <c r="Q115" s="221"/>
      <c r="R115" s="221"/>
      <c r="S115" s="221"/>
      <c r="T115" s="221"/>
      <c r="U115" s="221"/>
      <c r="V115" s="221"/>
      <c r="W115" s="83"/>
    </row>
    <row r="116" spans="5:23" x14ac:dyDescent="0.2">
      <c r="E116" s="85"/>
      <c r="F116" s="85"/>
    </row>
    <row r="117" spans="5:23" x14ac:dyDescent="0.2">
      <c r="E117" s="87"/>
      <c r="F117" s="85"/>
    </row>
    <row r="118" spans="5:23" x14ac:dyDescent="0.2">
      <c r="E118" s="85"/>
      <c r="F118" s="85"/>
    </row>
    <row r="119" spans="5:23" x14ac:dyDescent="0.2">
      <c r="E119" s="85"/>
    </row>
    <row r="120" spans="5:23" x14ac:dyDescent="0.2">
      <c r="E120" s="85"/>
    </row>
    <row r="122" spans="5:23" x14ac:dyDescent="0.2">
      <c r="P122" s="280" t="s">
        <v>78</v>
      </c>
      <c r="Q122" s="280"/>
      <c r="R122" s="280"/>
      <c r="S122" s="280"/>
      <c r="T122" s="280"/>
      <c r="U122" s="280"/>
      <c r="V122" s="280"/>
    </row>
  </sheetData>
  <mergeCells count="34">
    <mergeCell ref="P92:V93"/>
    <mergeCell ref="P122:V122"/>
    <mergeCell ref="P59:V60"/>
    <mergeCell ref="P52:V52"/>
    <mergeCell ref="P53:V53"/>
    <mergeCell ref="P54:V54"/>
    <mergeCell ref="P98:V98"/>
    <mergeCell ref="AA14:AC14"/>
    <mergeCell ref="J6:J7"/>
    <mergeCell ref="L6:N6"/>
    <mergeCell ref="B2:N3"/>
    <mergeCell ref="J10:J61"/>
    <mergeCell ref="N25:N26"/>
    <mergeCell ref="L25:L26"/>
    <mergeCell ref="B48:B49"/>
    <mergeCell ref="P38:S40"/>
    <mergeCell ref="P42:V43"/>
    <mergeCell ref="F6:F7"/>
    <mergeCell ref="AA29:AB29"/>
    <mergeCell ref="AA30:AB30"/>
    <mergeCell ref="L71:N71"/>
    <mergeCell ref="P34:S36"/>
    <mergeCell ref="N52:N54"/>
    <mergeCell ref="N59:N60"/>
    <mergeCell ref="N48:N49"/>
    <mergeCell ref="N92:N93"/>
    <mergeCell ref="B59:B60"/>
    <mergeCell ref="B92:B93"/>
    <mergeCell ref="L52:L54"/>
    <mergeCell ref="J71:J78"/>
    <mergeCell ref="B75:B76"/>
    <mergeCell ref="F73:F81"/>
    <mergeCell ref="F10:F61"/>
    <mergeCell ref="B71:H7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workbookViewId="0">
      <selection activeCell="B8" sqref="B8"/>
    </sheetView>
  </sheetViews>
  <sheetFormatPr baseColWidth="10" defaultRowHeight="15" x14ac:dyDescent="0.25"/>
  <cols>
    <col min="1" max="1" width="55.5703125" bestFit="1" customWidth="1"/>
    <col min="2" max="8" width="11.85546875" bestFit="1" customWidth="1"/>
    <col min="10" max="10" width="14.85546875" bestFit="1" customWidth="1"/>
  </cols>
  <sheetData>
    <row r="1" spans="1:16" x14ac:dyDescent="0.25">
      <c r="A1" s="8"/>
      <c r="B1" s="8"/>
      <c r="C1" s="8"/>
      <c r="D1" s="8"/>
      <c r="E1" s="8"/>
      <c r="F1" s="8"/>
      <c r="G1" s="8"/>
      <c r="H1" s="8"/>
    </row>
    <row r="2" spans="1:16" ht="15.75" thickBot="1" x14ac:dyDescent="0.3">
      <c r="A2" s="5" t="s">
        <v>83</v>
      </c>
      <c r="B2" s="8"/>
      <c r="C2" s="8"/>
      <c r="D2" s="8"/>
      <c r="E2" s="8"/>
      <c r="F2" s="8"/>
      <c r="G2" s="8"/>
      <c r="H2" s="8"/>
      <c r="J2" t="s">
        <v>60</v>
      </c>
      <c r="L2" s="151" t="s">
        <v>61</v>
      </c>
    </row>
    <row r="3" spans="1:16" s="1" customFormat="1" x14ac:dyDescent="0.25">
      <c r="A3" s="137" t="s">
        <v>9</v>
      </c>
      <c r="B3" s="138">
        <v>8</v>
      </c>
      <c r="C3" s="138">
        <v>12</v>
      </c>
      <c r="D3" s="138">
        <v>16</v>
      </c>
      <c r="E3" s="138">
        <v>19</v>
      </c>
      <c r="F3" s="138">
        <v>23</v>
      </c>
      <c r="G3" s="138">
        <v>25</v>
      </c>
      <c r="H3" s="139">
        <v>38</v>
      </c>
      <c r="J3" s="150">
        <f>IF($L$3&lt;=$B$3,B3,IF($L$3&lt;=$C$3,C3,IF($L$3&lt;=$D$3,D3,IF($L$3&lt;=$E$3,E3,IF($L$3&lt;=$F$3,F3,IF($L$3&lt;=$G$3,G3,H3))))))</f>
        <v>8</v>
      </c>
      <c r="L3" s="163">
        <f>Ergebnis!D12</f>
        <v>5.1449999999999996</v>
      </c>
    </row>
    <row r="4" spans="1:16" s="1" customFormat="1" x14ac:dyDescent="0.25">
      <c r="A4" s="284" t="s">
        <v>57</v>
      </c>
      <c r="B4" s="140">
        <f>SUM(B9:B12,B13)*B5</f>
        <v>292.05042474999999</v>
      </c>
      <c r="C4" s="140">
        <f t="shared" ref="C4:H4" si="0">SUM(C9:C12,C13)*C5</f>
        <v>292.05042474999999</v>
      </c>
      <c r="D4" s="140">
        <f t="shared" si="0"/>
        <v>292.05042474999999</v>
      </c>
      <c r="E4" s="140">
        <f t="shared" si="0"/>
        <v>292.05042474999999</v>
      </c>
      <c r="F4" s="140">
        <f t="shared" si="0"/>
        <v>300.04805775</v>
      </c>
      <c r="G4" s="140">
        <f t="shared" si="0"/>
        <v>297.73273424999996</v>
      </c>
      <c r="H4" s="141">
        <f t="shared" si="0"/>
        <v>349.22504575000005</v>
      </c>
      <c r="J4" s="164">
        <f t="shared" ref="J4:J8" si="1">IF($L$3&lt;=$B$3,B4,IF($L$3&lt;=$C$3,C4,IF($L$3&lt;=$D$3,D4,IF($L$3&lt;=$E$3,E4,IF($L$3&lt;=$F$3,F4,IF($L$3&lt;=$G$3,G4,H4))))))</f>
        <v>292.05042474999999</v>
      </c>
    </row>
    <row r="5" spans="1:16" s="1" customFormat="1" x14ac:dyDescent="0.25">
      <c r="A5" s="284"/>
      <c r="B5" s="142">
        <v>1.7500000000000002E-2</v>
      </c>
      <c r="C5" s="142">
        <v>1.7500000000000002E-2</v>
      </c>
      <c r="D5" s="142">
        <v>1.7500000000000002E-2</v>
      </c>
      <c r="E5" s="142">
        <v>1.7500000000000002E-2</v>
      </c>
      <c r="F5" s="142">
        <v>1.7500000000000002E-2</v>
      </c>
      <c r="G5" s="142">
        <v>1.7500000000000002E-2</v>
      </c>
      <c r="H5" s="143">
        <v>1.7500000000000002E-2</v>
      </c>
      <c r="J5" s="165">
        <f t="shared" si="1"/>
        <v>1.7500000000000002E-2</v>
      </c>
    </row>
    <row r="6" spans="1:16" s="1" customFormat="1" x14ac:dyDescent="0.25">
      <c r="A6" s="144" t="s">
        <v>58</v>
      </c>
      <c r="B6" s="140">
        <v>183.5932</v>
      </c>
      <c r="C6" s="140">
        <v>183.5932</v>
      </c>
      <c r="D6" s="140">
        <v>183.5932</v>
      </c>
      <c r="E6" s="140">
        <v>183.5932</v>
      </c>
      <c r="F6" s="140">
        <v>183.5932</v>
      </c>
      <c r="G6" s="140">
        <v>183.5932</v>
      </c>
      <c r="H6" s="141">
        <v>228.42287999999999</v>
      </c>
      <c r="J6" s="164">
        <f t="shared" si="1"/>
        <v>183.5932</v>
      </c>
    </row>
    <row r="7" spans="1:16" s="1" customFormat="1" x14ac:dyDescent="0.25">
      <c r="A7" s="284" t="s">
        <v>59</v>
      </c>
      <c r="B7" s="145">
        <f t="shared" ref="B7:H7" si="2">SUM(B9:B13)</f>
        <v>16688.595699999998</v>
      </c>
      <c r="C7" s="145">
        <f t="shared" si="2"/>
        <v>16688.595699999998</v>
      </c>
      <c r="D7" s="145">
        <f t="shared" si="2"/>
        <v>16688.595699999998</v>
      </c>
      <c r="E7" s="145">
        <f t="shared" si="2"/>
        <v>16688.595699999998</v>
      </c>
      <c r="F7" s="145">
        <f t="shared" si="2"/>
        <v>17145.603299999999</v>
      </c>
      <c r="G7" s="145">
        <f t="shared" si="2"/>
        <v>17013.299099999997</v>
      </c>
      <c r="H7" s="146">
        <f t="shared" si="2"/>
        <v>19955.716899999999</v>
      </c>
      <c r="J7" s="166">
        <f t="shared" si="1"/>
        <v>16688.595699999998</v>
      </c>
    </row>
    <row r="8" spans="1:16" s="1" customFormat="1" ht="15.75" thickBot="1" x14ac:dyDescent="0.3">
      <c r="A8" s="285"/>
      <c r="B8" s="147">
        <f>B7/B3</f>
        <v>2086.0744624999998</v>
      </c>
      <c r="C8" s="147">
        <f t="shared" ref="C8:H8" si="3">C7/C3</f>
        <v>1390.7163083333332</v>
      </c>
      <c r="D8" s="147">
        <f t="shared" si="3"/>
        <v>1043.0372312499999</v>
      </c>
      <c r="E8" s="147">
        <f t="shared" si="3"/>
        <v>878.34714210526306</v>
      </c>
      <c r="F8" s="147">
        <f t="shared" si="3"/>
        <v>745.46101304347826</v>
      </c>
      <c r="G8" s="147">
        <f t="shared" si="3"/>
        <v>680.5319639999999</v>
      </c>
      <c r="H8" s="148">
        <f t="shared" si="3"/>
        <v>525.15044473684213</v>
      </c>
      <c r="J8" s="167">
        <f t="shared" si="1"/>
        <v>2086.0744624999998</v>
      </c>
    </row>
    <row r="9" spans="1:16" x14ac:dyDescent="0.25">
      <c r="A9" s="9" t="s">
        <v>84</v>
      </c>
      <c r="B9" s="10">
        <v>11232.517099999999</v>
      </c>
      <c r="C9" s="10">
        <v>11232.517099999999</v>
      </c>
      <c r="D9" s="10">
        <v>11232.517099999999</v>
      </c>
      <c r="E9" s="10">
        <v>11232.517099999999</v>
      </c>
      <c r="F9" s="10">
        <v>11505.027099999998</v>
      </c>
      <c r="G9" s="10">
        <v>11505.027099999998</v>
      </c>
      <c r="H9" s="15">
        <v>12849.370100000002</v>
      </c>
      <c r="J9" s="136"/>
      <c r="K9" s="136"/>
      <c r="L9" s="136"/>
      <c r="M9" s="136"/>
      <c r="N9" s="136"/>
      <c r="O9" s="136"/>
      <c r="P9" s="136"/>
    </row>
    <row r="10" spans="1:16" x14ac:dyDescent="0.25">
      <c r="A10" s="9" t="s">
        <v>85</v>
      </c>
      <c r="B10" s="10">
        <v>498.80040000000002</v>
      </c>
      <c r="C10" s="10">
        <v>498.80040000000002</v>
      </c>
      <c r="D10" s="10">
        <v>498.80040000000002</v>
      </c>
      <c r="E10" s="10">
        <v>498.80040000000002</v>
      </c>
      <c r="F10" s="10">
        <v>498.80040000000002</v>
      </c>
      <c r="G10" s="10">
        <v>498.80040000000002</v>
      </c>
      <c r="H10" s="15">
        <v>598.7604</v>
      </c>
      <c r="J10" s="136"/>
      <c r="K10" s="136"/>
      <c r="L10" s="136"/>
      <c r="M10" s="136"/>
      <c r="N10" s="136"/>
      <c r="O10" s="136"/>
      <c r="P10" s="136"/>
    </row>
    <row r="11" spans="1:16" x14ac:dyDescent="0.25">
      <c r="A11" s="9" t="s">
        <v>7</v>
      </c>
      <c r="B11" s="10">
        <v>160.04310000000001</v>
      </c>
      <c r="C11" s="10">
        <v>160.04310000000001</v>
      </c>
      <c r="D11" s="10">
        <v>160.04310000000001</v>
      </c>
      <c r="E11" s="10">
        <v>160.04310000000001</v>
      </c>
      <c r="F11" s="10">
        <v>160.04310000000001</v>
      </c>
      <c r="G11" s="10">
        <v>160.04310000000001</v>
      </c>
      <c r="H11" s="15">
        <v>180.88</v>
      </c>
      <c r="J11" s="136"/>
      <c r="K11" s="136"/>
      <c r="L11" s="136"/>
      <c r="M11" s="136"/>
      <c r="N11" s="136"/>
      <c r="O11" s="136"/>
      <c r="P11" s="136"/>
    </row>
    <row r="12" spans="1:16" x14ac:dyDescent="0.25">
      <c r="A12" s="9" t="s">
        <v>86</v>
      </c>
      <c r="B12" s="10">
        <v>1879.3074999999999</v>
      </c>
      <c r="C12" s="10">
        <v>1879.3074999999999</v>
      </c>
      <c r="D12" s="10">
        <v>1879.3074999999999</v>
      </c>
      <c r="E12" s="10">
        <v>1879.3074999999999</v>
      </c>
      <c r="F12" s="10">
        <v>2009.4101999999998</v>
      </c>
      <c r="G12" s="10">
        <v>1879.3074999999999</v>
      </c>
      <c r="H12" s="15">
        <v>2686.6153999999997</v>
      </c>
      <c r="J12" s="136"/>
      <c r="K12" s="136"/>
      <c r="L12" s="136"/>
      <c r="M12" s="136"/>
      <c r="N12" s="136"/>
      <c r="O12" s="136"/>
      <c r="P12" s="136"/>
    </row>
    <row r="13" spans="1:16" ht="15.75" thickBot="1" x14ac:dyDescent="0.3">
      <c r="A13" s="11" t="s">
        <v>8</v>
      </c>
      <c r="B13" s="12">
        <v>2917.9276</v>
      </c>
      <c r="C13" s="12">
        <v>2917.9276</v>
      </c>
      <c r="D13" s="12">
        <v>2917.9276</v>
      </c>
      <c r="E13" s="12">
        <v>2917.9276</v>
      </c>
      <c r="F13" s="12">
        <v>2972.3224999999998</v>
      </c>
      <c r="G13" s="12">
        <v>2970.1210000000001</v>
      </c>
      <c r="H13" s="16">
        <v>3640.0909999999999</v>
      </c>
      <c r="J13" s="136"/>
      <c r="K13" s="136"/>
      <c r="L13" s="136"/>
      <c r="M13" s="136"/>
      <c r="N13" s="136"/>
      <c r="O13" s="136"/>
      <c r="P13" s="136"/>
    </row>
    <row r="14" spans="1:16" x14ac:dyDescent="0.25">
      <c r="A14" s="13"/>
      <c r="B14" s="14"/>
      <c r="C14" s="14"/>
      <c r="D14" s="14"/>
      <c r="E14" s="14"/>
      <c r="F14" s="14"/>
      <c r="G14" s="14"/>
      <c r="H14" s="14"/>
    </row>
    <row r="15" spans="1:16" s="1" customFormat="1" x14ac:dyDescent="0.25">
      <c r="A15" s="5" t="s">
        <v>55</v>
      </c>
    </row>
    <row r="16" spans="1:16" s="1" customFormat="1" x14ac:dyDescent="0.25">
      <c r="A16" s="168" t="s">
        <v>10</v>
      </c>
      <c r="B16" s="286" t="s">
        <v>81</v>
      </c>
      <c r="C16" s="287"/>
      <c r="D16" s="287"/>
      <c r="E16" s="287"/>
      <c r="F16" s="287"/>
      <c r="G16" s="287"/>
      <c r="H16" s="288"/>
    </row>
    <row r="17" spans="1:8" s="1" customFormat="1" x14ac:dyDescent="0.25">
      <c r="A17" s="168" t="s">
        <v>20</v>
      </c>
      <c r="B17" s="289"/>
      <c r="C17" s="290"/>
      <c r="D17" s="290"/>
      <c r="E17" s="290"/>
      <c r="F17" s="290"/>
      <c r="G17" s="290"/>
      <c r="H17" s="291"/>
    </row>
    <row r="18" spans="1:8" s="1" customFormat="1" x14ac:dyDescent="0.25">
      <c r="A18" s="168" t="s">
        <v>56</v>
      </c>
      <c r="B18" s="289"/>
      <c r="C18" s="290"/>
      <c r="D18" s="290"/>
      <c r="E18" s="290"/>
      <c r="F18" s="290"/>
      <c r="G18" s="290"/>
      <c r="H18" s="291"/>
    </row>
    <row r="19" spans="1:8" s="1" customFormat="1" x14ac:dyDescent="0.25">
      <c r="A19" s="168" t="s">
        <v>21</v>
      </c>
      <c r="B19" s="289"/>
      <c r="C19" s="290"/>
      <c r="D19" s="290"/>
      <c r="E19" s="290"/>
      <c r="F19" s="290"/>
      <c r="G19" s="290"/>
      <c r="H19" s="291"/>
    </row>
    <row r="20" spans="1:8" s="1" customFormat="1" x14ac:dyDescent="0.25">
      <c r="A20" s="168" t="s">
        <v>11</v>
      </c>
      <c r="B20" s="289"/>
      <c r="C20" s="290"/>
      <c r="D20" s="290"/>
      <c r="E20" s="290"/>
      <c r="F20" s="290"/>
      <c r="G20" s="290"/>
      <c r="H20" s="291"/>
    </row>
    <row r="21" spans="1:8" s="1" customFormat="1" x14ac:dyDescent="0.25">
      <c r="A21" s="168" t="s">
        <v>12</v>
      </c>
      <c r="B21" s="289"/>
      <c r="C21" s="290"/>
      <c r="D21" s="290"/>
      <c r="E21" s="290"/>
      <c r="F21" s="290"/>
      <c r="G21" s="290"/>
      <c r="H21" s="291"/>
    </row>
    <row r="22" spans="1:8" s="1" customFormat="1" x14ac:dyDescent="0.25">
      <c r="A22" s="168" t="s">
        <v>13</v>
      </c>
      <c r="B22" s="289"/>
      <c r="C22" s="290"/>
      <c r="D22" s="290"/>
      <c r="E22" s="290"/>
      <c r="F22" s="290"/>
      <c r="G22" s="290"/>
      <c r="H22" s="291"/>
    </row>
    <row r="23" spans="1:8" s="1" customFormat="1" x14ac:dyDescent="0.25">
      <c r="A23" s="168" t="s">
        <v>14</v>
      </c>
      <c r="B23" s="289"/>
      <c r="C23" s="290"/>
      <c r="D23" s="290"/>
      <c r="E23" s="290"/>
      <c r="F23" s="290"/>
      <c r="G23" s="290"/>
      <c r="H23" s="291"/>
    </row>
    <row r="24" spans="1:8" s="1" customFormat="1" x14ac:dyDescent="0.25">
      <c r="A24" s="168" t="s">
        <v>15</v>
      </c>
      <c r="B24" s="289"/>
      <c r="C24" s="290"/>
      <c r="D24" s="290"/>
      <c r="E24" s="290"/>
      <c r="F24" s="290"/>
      <c r="G24" s="290"/>
      <c r="H24" s="291"/>
    </row>
    <row r="25" spans="1:8" s="1" customFormat="1" x14ac:dyDescent="0.25">
      <c r="A25" s="168" t="s">
        <v>16</v>
      </c>
      <c r="B25" s="289"/>
      <c r="C25" s="290"/>
      <c r="D25" s="290"/>
      <c r="E25" s="290"/>
      <c r="F25" s="290"/>
      <c r="G25" s="290"/>
      <c r="H25" s="291"/>
    </row>
    <row r="26" spans="1:8" s="1" customFormat="1" x14ac:dyDescent="0.25">
      <c r="A26" s="168" t="s">
        <v>17</v>
      </c>
      <c r="B26" s="289"/>
      <c r="C26" s="290"/>
      <c r="D26" s="290"/>
      <c r="E26" s="290"/>
      <c r="F26" s="290"/>
      <c r="G26" s="290"/>
      <c r="H26" s="291"/>
    </row>
    <row r="27" spans="1:8" s="1" customFormat="1" x14ac:dyDescent="0.25">
      <c r="A27" s="168" t="s">
        <v>18</v>
      </c>
      <c r="B27" s="292"/>
      <c r="C27" s="293"/>
      <c r="D27" s="293"/>
      <c r="E27" s="293"/>
      <c r="F27" s="293"/>
      <c r="G27" s="293"/>
      <c r="H27" s="294"/>
    </row>
    <row r="28" spans="1:8" s="1" customFormat="1" ht="15.75" thickBot="1" x14ac:dyDescent="0.3"/>
    <row r="29" spans="1:8" s="1" customFormat="1" ht="15.75" thickBot="1" x14ac:dyDescent="0.3">
      <c r="A29" s="149" t="s">
        <v>19</v>
      </c>
      <c r="B29" s="162">
        <f>B7</f>
        <v>16688.595699999998</v>
      </c>
      <c r="C29" s="162">
        <f t="shared" ref="C29:H29" si="4">C7</f>
        <v>16688.595699999998</v>
      </c>
      <c r="D29" s="162">
        <f t="shared" si="4"/>
        <v>16688.595699999998</v>
      </c>
      <c r="E29" s="162">
        <f t="shared" si="4"/>
        <v>16688.595699999998</v>
      </c>
      <c r="F29" s="162">
        <f t="shared" si="4"/>
        <v>17145.603299999999</v>
      </c>
      <c r="G29" s="162">
        <f t="shared" si="4"/>
        <v>17013.299099999997</v>
      </c>
      <c r="H29" s="162">
        <f t="shared" si="4"/>
        <v>19955.716899999999</v>
      </c>
    </row>
  </sheetData>
  <mergeCells count="3">
    <mergeCell ref="A4:A5"/>
    <mergeCell ref="A7:A8"/>
    <mergeCell ref="B16:H27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Ap-Wärme</dc:creator>
  <cp:lastModifiedBy>Hubert Daubmeier</cp:lastModifiedBy>
  <dcterms:created xsi:type="dcterms:W3CDTF">2014-08-19T13:12:21Z</dcterms:created>
  <dcterms:modified xsi:type="dcterms:W3CDTF">2021-08-05T13:45:28Z</dcterms:modified>
</cp:coreProperties>
</file>