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64d8bd3b43466be/Nahwärme Joshofen/5.8.2021/"/>
    </mc:Choice>
  </mc:AlternateContent>
  <xr:revisionPtr revIDLastSave="0" documentId="8_{3F6F9B8A-7EB1-4C42-8F5C-A288DDF677C1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Ergebnis" sheetId="5" r:id="rId1"/>
    <sheet name="Dat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3" i="5" l="1"/>
  <c r="B4" i="3"/>
  <c r="H18" i="5"/>
  <c r="D19" i="5"/>
  <c r="D25" i="5" s="1"/>
  <c r="L19" i="5" l="1"/>
  <c r="L15" i="5" l="1"/>
  <c r="D24" i="5"/>
  <c r="L30" i="5"/>
  <c r="L26" i="5" s="1"/>
  <c r="B7" i="3"/>
  <c r="H81" i="5"/>
  <c r="L31" i="5"/>
  <c r="B29" i="3" l="1"/>
  <c r="B8" i="3"/>
  <c r="H31" i="5"/>
  <c r="D32" i="5"/>
  <c r="H34" i="5"/>
  <c r="L34" i="5" s="1"/>
  <c r="H30" i="5"/>
  <c r="L79" i="5"/>
  <c r="L81" i="5" s="1"/>
  <c r="L72" i="5"/>
  <c r="L86" i="5"/>
  <c r="L85" i="5"/>
  <c r="H10" i="5"/>
  <c r="L10" i="5" s="1"/>
  <c r="H13" i="5"/>
  <c r="L13" i="5" s="1"/>
  <c r="D12" i="5"/>
  <c r="D39" i="5" l="1"/>
  <c r="D35" i="5"/>
  <c r="D36" i="5" s="1"/>
  <c r="D42" i="5" s="1"/>
  <c r="L102" i="5"/>
  <c r="L96" i="5"/>
  <c r="H12" i="5"/>
  <c r="L12" i="5" s="1"/>
  <c r="L48" i="5" s="1"/>
  <c r="L95" i="5" s="1"/>
  <c r="L60" i="5" s="1"/>
  <c r="L3" i="3"/>
  <c r="L32" i="5"/>
  <c r="H32" i="5"/>
  <c r="L74" i="5"/>
  <c r="L76" i="5" s="1"/>
  <c r="L83" i="5" s="1"/>
  <c r="L88" i="5" s="1"/>
  <c r="J31" i="3" l="1"/>
  <c r="D22" i="5" s="1"/>
  <c r="L101" i="5"/>
  <c r="L103" i="5" s="1"/>
  <c r="J3" i="3"/>
  <c r="J5" i="3"/>
  <c r="J6" i="3"/>
  <c r="D48" i="5" s="1"/>
  <c r="H35" i="5"/>
  <c r="L35" i="5" s="1"/>
  <c r="L36" i="5" s="1"/>
  <c r="D38" i="5"/>
  <c r="H39" i="5"/>
  <c r="H36" i="5"/>
  <c r="H15" i="5" s="1"/>
  <c r="D21" i="5" l="1"/>
  <c r="D44" i="5" s="1"/>
  <c r="D45" i="5" s="1"/>
  <c r="H22" i="5"/>
  <c r="H48" i="5"/>
  <c r="H38" i="5"/>
  <c r="L39" i="5"/>
  <c r="L38" i="5" s="1"/>
  <c r="L99" i="5" s="1"/>
  <c r="L63" i="5" s="1"/>
  <c r="C7" i="3"/>
  <c r="D7" i="3"/>
  <c r="D29" i="3" s="1"/>
  <c r="E7" i="3"/>
  <c r="F7" i="3"/>
  <c r="F29" i="3" s="1"/>
  <c r="G7" i="3"/>
  <c r="G29" i="3" s="1"/>
  <c r="H7" i="3"/>
  <c r="H29" i="3" s="1"/>
  <c r="C29" i="3" l="1"/>
  <c r="J29" i="3" s="1"/>
  <c r="E29" i="3"/>
  <c r="J7" i="3"/>
  <c r="H71" i="5" s="1"/>
  <c r="L21" i="5"/>
  <c r="F8" i="3"/>
  <c r="E8" i="3"/>
  <c r="D8" i="3"/>
  <c r="C8" i="3"/>
  <c r="J8" i="3" s="1"/>
  <c r="H8" i="3"/>
  <c r="G8" i="3"/>
  <c r="H74" i="5" l="1"/>
  <c r="H76" i="5" s="1"/>
  <c r="H83" i="5" s="1"/>
  <c r="H88" i="5" s="1"/>
  <c r="L42" i="5"/>
  <c r="L52" i="5"/>
  <c r="L25" i="5" l="1"/>
  <c r="L24" i="5" s="1"/>
  <c r="H19" i="5"/>
  <c r="H25" i="5" s="1"/>
  <c r="H24" i="5" s="1"/>
  <c r="H21" i="5"/>
  <c r="H44" i="5" l="1"/>
  <c r="H42" i="5"/>
  <c r="H45" i="5" l="1"/>
  <c r="L44" i="5"/>
  <c r="L94" i="5"/>
  <c r="C4" i="3"/>
  <c r="H4" i="3"/>
  <c r="D4" i="3"/>
  <c r="G4" i="3"/>
  <c r="E4" i="3"/>
  <c r="J4" i="3" s="1"/>
  <c r="D49" i="5" s="1"/>
  <c r="D52" i="5" s="1"/>
  <c r="F4" i="3"/>
  <c r="H49" i="5" l="1"/>
  <c r="H52" i="5" s="1"/>
  <c r="D55" i="5"/>
  <c r="D56" i="5" s="1"/>
  <c r="L97" i="5"/>
  <c r="L59" i="5"/>
  <c r="L61" i="5" s="1"/>
  <c r="L45" i="5"/>
  <c r="L55" i="5"/>
  <c r="L56" i="5" s="1"/>
  <c r="L90" i="5"/>
  <c r="H55" i="5" l="1"/>
  <c r="H56" i="5" s="1"/>
  <c r="H90" i="5"/>
  <c r="H91" i="5" s="1"/>
  <c r="L91" i="5"/>
</calcChain>
</file>

<file path=xl/sharedStrings.xml><?xml version="1.0" encoding="utf-8"?>
<sst xmlns="http://schemas.openxmlformats.org/spreadsheetml/2006/main" count="153" uniqueCount="117">
  <si>
    <t>Nutzungsdauer</t>
  </si>
  <si>
    <t>Zinssatz (kalkulatorisch)</t>
  </si>
  <si>
    <t>zu beheizende Fläche</t>
  </si>
  <si>
    <t>Brennwert</t>
  </si>
  <si>
    <t>Betriebsgebundene Kosten</t>
  </si>
  <si>
    <t>Verbrauchsgebundene Kosten</t>
  </si>
  <si>
    <t>#</t>
  </si>
  <si>
    <t>Kapitalgebundene Kosten</t>
  </si>
  <si>
    <t>• Wasseraufbereitung</t>
  </si>
  <si>
    <t>• Pauschalen</t>
  </si>
  <si>
    <t>Gebäudeheizlast / Kesselleistung:</t>
  </si>
  <si>
    <t>• Hydraulischer Abgleich (zwingend für die Förderung)</t>
  </si>
  <si>
    <t>• Heizungspumpe (optional, falls notwendig)</t>
  </si>
  <si>
    <t>• Heizungsmischer (optional, falls notwendig)</t>
  </si>
  <si>
    <t>• Mischer Stellmotor (optional, falls notwendig)</t>
  </si>
  <si>
    <t>• Zirkulationspumpe (optional, falls notwendig)</t>
  </si>
  <si>
    <t>• Absperrungen Heizung (optional, falls notwendig)</t>
  </si>
  <si>
    <t>• Absperrungen Kaltwasser (optional, falls notwendig)</t>
  </si>
  <si>
    <t>• Schlammabscheider (optional)</t>
  </si>
  <si>
    <t>• ….</t>
  </si>
  <si>
    <t>Investitionskosten für Vergleichsberechnung</t>
  </si>
  <si>
    <t>• Demontage der Altanalge (optional, falls notwendig)</t>
  </si>
  <si>
    <t>• Ausdehnungsgefäß (optional, falls notwendig)</t>
  </si>
  <si>
    <t>alle Angaben sind Bruttopreise</t>
  </si>
  <si>
    <t>Stromkosten für Kesselbetrieb</t>
  </si>
  <si>
    <t>Strompreis</t>
  </si>
  <si>
    <t>Wartungskosten</t>
  </si>
  <si>
    <t>ø Reparaturkosten (25 Jahre)</t>
  </si>
  <si>
    <t>ø Schornsteinfegerkosten</t>
  </si>
  <si>
    <t>Verbrauchs- und Betriebskosten</t>
  </si>
  <si>
    <t>Zusatzleistungen beim Heizungseinbau</t>
  </si>
  <si>
    <t>Zusatzleistungen bei der Heizungsoptimierung</t>
  </si>
  <si>
    <t>Förderung für Heizungsoptimierung (20%)</t>
  </si>
  <si>
    <t>Heizwert</t>
  </si>
  <si>
    <t>Wärmebedarf pro Jahr</t>
  </si>
  <si>
    <t>Heizleistung pro Quadratmeter des Gebäudes</t>
  </si>
  <si>
    <t>Leistungspreis</t>
  </si>
  <si>
    <t>Arbeitspreis</t>
  </si>
  <si>
    <t>Jahresnutzungsgrad Wärmetauscher</t>
  </si>
  <si>
    <t>Nahwärme</t>
  </si>
  <si>
    <t>Kesseltyp:</t>
  </si>
  <si>
    <t>Nieder-
temperatur</t>
  </si>
  <si>
    <t>Kesseltyp</t>
  </si>
  <si>
    <t>Jahresnutzungsgrad</t>
  </si>
  <si>
    <t>Typ</t>
  </si>
  <si>
    <t>Einmalbeitrag bei Anschluss an die Nahwärme</t>
  </si>
  <si>
    <t>Förderung ohne / mit Heizöltausch (35% / 45%)</t>
  </si>
  <si>
    <t>Zusatzleistungen beim Nahwärmeanschluss</t>
  </si>
  <si>
    <t>Gesamtinvestition nach Förderung</t>
  </si>
  <si>
    <t>Die folgenden Kosten fallen alle 20 - 30 Jahre bei der Heizungserneuerung an.</t>
  </si>
  <si>
    <r>
      <t>Scheitholzverbrauch pro Jahr</t>
    </r>
    <r>
      <rPr>
        <sz val="11"/>
        <color rgb="FF000000"/>
        <rFont val="Arial"/>
        <family val="2"/>
      </rPr>
      <t xml:space="preserve"> (Kachelofen)</t>
    </r>
  </si>
  <si>
    <t>Jahresnutzungsgrad Kachel-/Schwedenofen</t>
  </si>
  <si>
    <t>Brennstoffkosten Kachel-/Schwedenofen</t>
  </si>
  <si>
    <t>Anteil Hartholz</t>
  </si>
  <si>
    <t>Anteil Weichholz</t>
  </si>
  <si>
    <t>Energieinhalt je Ster</t>
  </si>
  <si>
    <t>ø Heizwert Hartholz:</t>
  </si>
  <si>
    <t>ø Heizwert Weichholz:</t>
  </si>
  <si>
    <t>Gesamtwärmeverbrauch des Gebäudes</t>
  </si>
  <si>
    <t>Scheitholzpreis (ofenfertig)</t>
  </si>
  <si>
    <t>(nur für Zusatzleistungen)</t>
  </si>
  <si>
    <t>Förderung der Zusatzleistungen</t>
  </si>
  <si>
    <t>hydraulischer Abgleich (Schätzkostenansatz)</t>
  </si>
  <si>
    <t>Zusatzleistungen bei Heizungseinbau</t>
  </si>
  <si>
    <t>• Brauchwarmwasserspeicher (optional, falls notwendig)</t>
  </si>
  <si>
    <t>Instandsetzungskosten / Reparaturen</t>
  </si>
  <si>
    <t>Inspektions- und Wartungskosten</t>
  </si>
  <si>
    <t>Investitionskosten Heizzentrale</t>
  </si>
  <si>
    <t>für Berechnung</t>
  </si>
  <si>
    <t>Gebäude</t>
  </si>
  <si>
    <t>Wärmeverbrauch (Nahwärme)</t>
  </si>
  <si>
    <t>Gesamtkosten Nahwärme</t>
  </si>
  <si>
    <t>Der Jahresnutzungsgrad einer Einzelfeuerung beträgt nach Angaben der bimomassefreundlichen "Bay. Landes-anstalt für Wald- und Forstwirtschaft" 65%. (Merkblatt 34)</t>
  </si>
  <si>
    <t>Oftmals wird der Kachel- oder Schwedenofen weniger genutzt, wenn ein Nahwärmeanschluss errichtet wurde, da kein "teures Heizöl" eingespart werden muss/soll. (Voreinstellung 1/3)</t>
  </si>
  <si>
    <t xml:space="preserve">Wer nach einem Anlschluss an das Wärmenetz seinen Einzelofen weniger benutzt, bezieht mehr Nahwärme. Dies wird hier anhand der Eingaben unter "Einzelofen" automatisch berücksichtigt. </t>
  </si>
  <si>
    <t>Heizleistung der zu beheizenden Fläche</t>
  </si>
  <si>
    <t>Die folgenden Kosten fallen bei der Nahwärme einmalig an.</t>
  </si>
  <si>
    <t>Gesamtkosten der Zusatzleistungen</t>
  </si>
  <si>
    <r>
      <t>Grundpreis</t>
    </r>
    <r>
      <rPr>
        <sz val="8"/>
        <color theme="1"/>
        <rFont val="Arial"/>
        <family val="2"/>
      </rPr>
      <t xml:space="preserve"> (wenn keine Einmalzahlung geleistet wird)</t>
    </r>
  </si>
  <si>
    <t>Scheitholzkosten für Kachel-/Schwedenofen</t>
  </si>
  <si>
    <t>Wärmeerzeugung pro Jahr</t>
  </si>
  <si>
    <t>Durchschnittliche Kosten die für die Wartung angesetzt werden (z.B. Wartungsvertrag mit Heizungsbauer)</t>
  </si>
  <si>
    <t>Durchschnittliche jährliche Kosten für Reparatur der Heizungsanlage</t>
  </si>
  <si>
    <t xml:space="preserve">Kaminkehrerkosten für Kehrarbeiten, Emissionsmessung, Feuerstättenschau, Bescheide, ... </t>
  </si>
  <si>
    <t>Gesamtkosten der Wärmeversorgung</t>
  </si>
  <si>
    <t>Erst ab dem Zeitpunkt zu bezahlen, wenn der Hauptwärmeerzeuger der Zentralheizung älter als 20 Jahre ist.</t>
  </si>
  <si>
    <t>Eventuell notwednige Zusatzleistungen sind von jedem selbst zu begleichen.</t>
  </si>
  <si>
    <t>Berechnung gültig bis 40 kW</t>
  </si>
  <si>
    <t>Dies sind die jährlich zu erwartenden Kosten, wenn der Einmalbeitrag in Höhe von 9.950 € und die gegebenenfalls gebäudeindividuellen Zusatzleistungen bezahlt wurden.</t>
  </si>
  <si>
    <t>Davon sind:</t>
  </si>
  <si>
    <t>Diese Kosten sind individuell für jedes Gebäude zu ermitteln und nicht im Wärmepreis, sowie in den angesetzten Investitionskosten für eine neue Heizölbrennwertheizung enthalten.</t>
  </si>
  <si>
    <t>derzeitige Holzheizung</t>
  </si>
  <si>
    <t>ø Scheitholzkosten (Weichholz):</t>
  </si>
  <si>
    <t>Laut Angaben des biomassefreundlichen "Technologie- und Förderzeuntrum für Nachwachsende Rohstoffe" (TFZ-Merkblatt 21WBr003; Stand Januar 2021) betragen die durchschnittlichen Kosten für Hartholz 98,68 €/Ster und für Weichholz 79,38 €/Ster. Die minimalen Kosten wurden mit 72 €/Ster Hartholz bzw. 57 €/Ster Weichholz angegeben. (Hierfür sollte es auf jeden Fall jeder verkaufen können, wenn er den gerne Holz macht.) (Voreinstellung: Mittelwerte der gennanten Holzpreise)</t>
  </si>
  <si>
    <t>Leistungsverzeichnisse: Scheitholzkessel</t>
  </si>
  <si>
    <t>• Pumpen und Armaturen</t>
  </si>
  <si>
    <t>• Pufferspeicher</t>
  </si>
  <si>
    <t>zukünftige Holzheizung</t>
  </si>
  <si>
    <t>Investitionskosten in neue Scheitholzheizung</t>
  </si>
  <si>
    <t>Holzheizung</t>
  </si>
  <si>
    <t>Pellets</t>
  </si>
  <si>
    <t>Pelletsverbrauch pro Jahr in Tonnen</t>
  </si>
  <si>
    <t>Energieinhalt je Tonne (Heizwert)</t>
  </si>
  <si>
    <t>Brennstoffkosten Pellets</t>
  </si>
  <si>
    <t>Stromverbrauch (2,5% des Wärmebedarfs)</t>
  </si>
  <si>
    <t>Vergleichsberechnung Pelletkessel / Nahwärme</t>
  </si>
  <si>
    <t>Brennstoffpreise:</t>
  </si>
  <si>
    <r>
      <t>Wärmebezugskosten</t>
    </r>
    <r>
      <rPr>
        <sz val="11"/>
        <color rgb="FF000000"/>
        <rFont val="Arial"/>
        <family val="2"/>
      </rPr>
      <t xml:space="preserve"> (Ersatz Pellets)</t>
    </r>
  </si>
  <si>
    <r>
      <t>Wärmelieferung pro Jahr</t>
    </r>
    <r>
      <rPr>
        <sz val="11"/>
        <color rgb="FF000000"/>
        <rFont val="Arial"/>
        <family val="2"/>
      </rPr>
      <t xml:space="preserve"> (Ersatz Pellets / Scheitholz)</t>
    </r>
  </si>
  <si>
    <t>Einzelofen (Beistellherd, Kachel- / Schwedenofen, ...)</t>
  </si>
  <si>
    <r>
      <t>Wärmebezugskosten</t>
    </r>
    <r>
      <rPr>
        <sz val="11"/>
        <color rgb="FF000000"/>
        <rFont val="Arial"/>
        <family val="2"/>
      </rPr>
      <t xml:space="preserve"> (Ersatz Scheitholz für Einzelofen)</t>
    </r>
  </si>
  <si>
    <r>
      <t>Wärmelieferung pro Jahr</t>
    </r>
    <r>
      <rPr>
        <sz val="11"/>
        <color rgb="FF000000"/>
        <rFont val="Arial"/>
        <family val="2"/>
      </rPr>
      <t xml:space="preserve"> (Ersatz Scheitholz für Einzelofen)</t>
    </r>
  </si>
  <si>
    <r>
      <t>Reduzierung Scheitholzverbrauch</t>
    </r>
    <r>
      <rPr>
        <sz val="11"/>
        <color rgb="FF000000"/>
        <rFont val="Arial"/>
        <family val="2"/>
      </rPr>
      <t xml:space="preserve"> (für Einzelofen)</t>
    </r>
  </si>
  <si>
    <t>• Wärmeerzeugungsanlage (Pelletkessel)</t>
  </si>
  <si>
    <r>
      <t xml:space="preserve">Dies sind die jährlich zu erwartenden Kosten, wenn der Einmalbeitrag in Höhe von 9.950 € und die gegebenenfalls Gebäudeindividuellen Zusatzleistungen </t>
    </r>
    <r>
      <rPr>
        <b/>
        <sz val="11"/>
        <color rgb="FFC00000"/>
        <rFont val="Arial"/>
        <family val="2"/>
      </rPr>
      <t>nicht</t>
    </r>
    <r>
      <rPr>
        <sz val="11"/>
        <color rgb="FFC00000"/>
        <rFont val="Arial"/>
        <family val="2"/>
      </rPr>
      <t xml:space="preserve"> bezahlt wurden.</t>
    </r>
  </si>
  <si>
    <t>Jahresnutzungsgrad Pelletkessel</t>
  </si>
  <si>
    <t>Der Jahresnutzungsgrad einer Pelletheizung beträgt nach Angaben der bimomassefreundlichen "Bay. Landes-anstalt für Wald- und Forstwirtschaft" 78%. (Merkblatt 34)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</si>
</sst>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64" formatCode="#,##0.00&quot; &quot;[$€-407];[Red]&quot;-&quot;#,##0.00&quot; &quot;[$€-407]"/>
    <numFmt numFmtId="165" formatCode="0\ &quot;kW&quot;"/>
    <numFmt numFmtId="166" formatCode="#,##0\ &quot;€&quot;"/>
    <numFmt numFmtId="167" formatCode="#,##0\ &quot;kWh&quot;"/>
    <numFmt numFmtId="168" formatCode="0.0%"/>
    <numFmt numFmtId="169" formatCode="#,##0\ &quot;€/a&quot;"/>
    <numFmt numFmtId="170" formatCode="0.00\ &quot;Ct/kWh&quot;"/>
    <numFmt numFmtId="171" formatCode="0\ &quot;Jahre&quot;"/>
    <numFmt numFmtId="172" formatCode="#,##0\ &quot;qm&quot;"/>
    <numFmt numFmtId="173" formatCode="#,##0.00\ &quot;€&quot;"/>
    <numFmt numFmtId="174" formatCode="#,##0.00\ &quot;€/a&quot;"/>
    <numFmt numFmtId="175" formatCode="#,##0\ &quot;kW&quot;"/>
    <numFmt numFmtId="176" formatCode="0\ &quot;W/qm&quot;"/>
    <numFmt numFmtId="177" formatCode="#,##0\ &quot;€/kW&quot;"/>
    <numFmt numFmtId="178" formatCode="#,##0.00\ &quot;Ct/kWh&quot;"/>
    <numFmt numFmtId="179" formatCode="#,##0.00\ &quot;kWh&quot;"/>
    <numFmt numFmtId="180" formatCode="0.00\ &quot;Ct/Liter&quot;"/>
    <numFmt numFmtId="181" formatCode="#,##0.0\ &quot;Ster&quot;"/>
    <numFmt numFmtId="182" formatCode="0.00\ &quot;€/Ster&quot;"/>
    <numFmt numFmtId="183" formatCode="#,##0\ &quot;kWh/Rm&quot;"/>
    <numFmt numFmtId="184" formatCode="#,##0\ &quot;kWh/Ster&quot;"/>
    <numFmt numFmtId="185" formatCode="#,##0.0\ &quot;kW&quot;"/>
    <numFmt numFmtId="186" formatCode="#,##0.0\ &quot;kWh&quot;"/>
    <numFmt numFmtId="187" formatCode="0.00\ &quot;€/t&quot;"/>
    <numFmt numFmtId="188" formatCode="#,##0.00\ &quot;€/t&quot;"/>
    <numFmt numFmtId="189" formatCode="#,##0.0\ &quot;t&quot;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FF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2" tint="-0.749992370372631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sz val="11"/>
      <color rgb="FFC00000"/>
      <name val="Arial"/>
      <family val="2"/>
    </font>
    <font>
      <b/>
      <u/>
      <sz val="11"/>
      <color rgb="FF800000"/>
      <name val="Arial"/>
      <family val="2"/>
    </font>
    <font>
      <b/>
      <sz val="18"/>
      <name val="Arial"/>
      <family val="2"/>
    </font>
    <font>
      <i/>
      <sz val="10"/>
      <color theme="1"/>
      <name val="Arial"/>
      <family val="2"/>
    </font>
    <font>
      <sz val="10"/>
      <color rgb="FFC00000"/>
      <name val="Arial"/>
      <family val="2"/>
    </font>
    <font>
      <sz val="7"/>
      <color rgb="FFC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499984740745262"/>
        <bgColor rgb="FFAECF00"/>
      </patternFill>
    </fill>
    <fill>
      <patternFill patternType="solid">
        <fgColor rgb="FF800000"/>
        <bgColor rgb="FFAECF00"/>
      </patternFill>
    </fill>
    <fill>
      <patternFill patternType="solid">
        <fgColor rgb="FF80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4" fontId="4" fillId="0" borderId="0" applyBorder="0" applyProtection="0"/>
    <xf numFmtId="0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4" fontId="10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294">
    <xf numFmtId="0" fontId="0" fillId="0" borderId="0" xfId="0"/>
    <xf numFmtId="0" fontId="0" fillId="0" borderId="0" xfId="0"/>
    <xf numFmtId="168" fontId="7" fillId="0" borderId="0" xfId="1" applyNumberFormat="1" applyFont="1" applyFill="1" applyBorder="1" applyAlignment="1">
      <alignment horizontal="center"/>
    </xf>
    <xf numFmtId="0" fontId="12" fillId="0" borderId="0" xfId="2" applyFont="1"/>
    <xf numFmtId="0" fontId="7" fillId="0" borderId="0" xfId="2" applyFont="1"/>
    <xf numFmtId="0" fontId="11" fillId="0" borderId="0" xfId="0" applyFont="1" applyAlignment="1">
      <alignment vertical="center"/>
    </xf>
    <xf numFmtId="0" fontId="15" fillId="0" borderId="0" xfId="2" applyFont="1"/>
    <xf numFmtId="0" fontId="8" fillId="0" borderId="0" xfId="0" applyFont="1"/>
    <xf numFmtId="0" fontId="8" fillId="0" borderId="0" xfId="0" applyFont="1" applyAlignment="1">
      <alignment vertical="center"/>
    </xf>
    <xf numFmtId="4" fontId="8" fillId="0" borderId="10" xfId="0" applyNumberFormat="1" applyFont="1" applyFill="1" applyBorder="1" applyAlignment="1">
      <alignment horizontal="left" vertical="center" indent="1"/>
    </xf>
    <xf numFmtId="173" fontId="8" fillId="0" borderId="1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left" vertical="center" indent="1"/>
    </xf>
    <xf numFmtId="173" fontId="8" fillId="0" borderId="8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73" fontId="8" fillId="0" borderId="0" xfId="0" applyNumberFormat="1" applyFont="1" applyFill="1" applyAlignment="1">
      <alignment vertical="center"/>
    </xf>
    <xf numFmtId="173" fontId="8" fillId="0" borderId="11" xfId="0" applyNumberFormat="1" applyFont="1" applyFill="1" applyBorder="1" applyAlignment="1">
      <alignment vertical="center"/>
    </xf>
    <xf numFmtId="173" fontId="8" fillId="0" borderId="9" xfId="0" applyNumberFormat="1" applyFont="1" applyFill="1" applyBorder="1" applyAlignment="1">
      <alignment vertical="center"/>
    </xf>
    <xf numFmtId="0" fontId="5" fillId="0" borderId="12" xfId="2" applyFont="1" applyBorder="1"/>
    <xf numFmtId="165" fontId="7" fillId="0" borderId="0" xfId="2" applyNumberFormat="1" applyFont="1" applyAlignment="1">
      <alignment horizontal="center"/>
    </xf>
    <xf numFmtId="0" fontId="5" fillId="0" borderId="27" xfId="2" applyFont="1" applyBorder="1"/>
    <xf numFmtId="0" fontId="19" fillId="0" borderId="0" xfId="2" applyFont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5" fillId="0" borderId="0" xfId="2" applyFont="1"/>
    <xf numFmtId="0" fontId="14" fillId="0" borderId="14" xfId="2" applyFont="1" applyBorder="1" applyAlignment="1">
      <alignment horizontal="left" vertical="center" indent="1"/>
    </xf>
    <xf numFmtId="0" fontId="14" fillId="0" borderId="13" xfId="2" applyFont="1" applyBorder="1" applyAlignment="1">
      <alignment horizontal="left" vertical="center" indent="1"/>
    </xf>
    <xf numFmtId="0" fontId="14" fillId="0" borderId="0" xfId="2" applyFont="1" applyAlignment="1">
      <alignment horizontal="left" indent="1"/>
    </xf>
    <xf numFmtId="170" fontId="7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7" fillId="0" borderId="18" xfId="2" applyFont="1" applyBorder="1" applyAlignment="1">
      <alignment horizontal="center"/>
    </xf>
    <xf numFmtId="0" fontId="5" fillId="0" borderId="27" xfId="2" applyFont="1" applyBorder="1" applyAlignment="1">
      <alignment vertical="center"/>
    </xf>
    <xf numFmtId="165" fontId="13" fillId="0" borderId="12" xfId="2" applyNumberFormat="1" applyFont="1" applyFill="1" applyBorder="1" applyAlignment="1">
      <alignment horizontal="center"/>
    </xf>
    <xf numFmtId="179" fontId="7" fillId="0" borderId="14" xfId="2" applyNumberFormat="1" applyFont="1" applyFill="1" applyBorder="1" applyAlignment="1">
      <alignment horizontal="center"/>
    </xf>
    <xf numFmtId="179" fontId="14" fillId="0" borderId="14" xfId="2" applyNumberFormat="1" applyFont="1" applyFill="1" applyBorder="1" applyAlignment="1">
      <alignment horizontal="center"/>
    </xf>
    <xf numFmtId="0" fontId="5" fillId="0" borderId="13" xfId="2" applyFont="1" applyBorder="1" applyAlignment="1">
      <alignment horizontal="left" vertical="center"/>
    </xf>
    <xf numFmtId="167" fontId="13" fillId="0" borderId="13" xfId="2" applyNumberFormat="1" applyFont="1" applyFill="1" applyBorder="1" applyAlignment="1">
      <alignment horizontal="center"/>
    </xf>
    <xf numFmtId="169" fontId="13" fillId="0" borderId="12" xfId="2" applyNumberFormat="1" applyFont="1" applyFill="1" applyBorder="1" applyAlignment="1">
      <alignment horizontal="center"/>
    </xf>
    <xf numFmtId="167" fontId="14" fillId="0" borderId="14" xfId="2" applyNumberFormat="1" applyFont="1" applyFill="1" applyBorder="1" applyAlignment="1">
      <alignment horizontal="center"/>
    </xf>
    <xf numFmtId="166" fontId="6" fillId="0" borderId="0" xfId="2" applyNumberFormat="1" applyFont="1" applyFill="1" applyBorder="1" applyAlignment="1">
      <alignment horizontal="center"/>
    </xf>
    <xf numFmtId="166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171" fontId="7" fillId="0" borderId="0" xfId="2" applyNumberFormat="1" applyFont="1" applyFill="1" applyBorder="1" applyAlignment="1">
      <alignment horizontal="center"/>
    </xf>
    <xf numFmtId="169" fontId="6" fillId="0" borderId="0" xfId="2" applyNumberFormat="1" applyFont="1" applyFill="1" applyBorder="1" applyAlignment="1">
      <alignment horizontal="center"/>
    </xf>
    <xf numFmtId="167" fontId="13" fillId="0" borderId="27" xfId="2" applyNumberFormat="1" applyFont="1" applyFill="1" applyBorder="1" applyAlignment="1">
      <alignment horizontal="center"/>
    </xf>
    <xf numFmtId="176" fontId="14" fillId="0" borderId="13" xfId="2" applyNumberFormat="1" applyFont="1" applyFill="1" applyBorder="1" applyAlignment="1">
      <alignment horizontal="center"/>
    </xf>
    <xf numFmtId="172" fontId="13" fillId="0" borderId="27" xfId="2" applyNumberFormat="1" applyFont="1" applyFill="1" applyBorder="1" applyAlignment="1">
      <alignment horizontal="center"/>
    </xf>
    <xf numFmtId="170" fontId="14" fillId="0" borderId="13" xfId="0" applyNumberFormat="1" applyFont="1" applyFill="1" applyBorder="1" applyAlignment="1">
      <alignment horizontal="center"/>
    </xf>
    <xf numFmtId="0" fontId="7" fillId="0" borderId="18" xfId="2" applyFont="1" applyFill="1" applyBorder="1" applyAlignment="1">
      <alignment horizontal="center"/>
    </xf>
    <xf numFmtId="0" fontId="7" fillId="0" borderId="0" xfId="2" applyFont="1" applyFill="1" applyBorder="1"/>
    <xf numFmtId="0" fontId="19" fillId="0" borderId="0" xfId="2" applyFont="1" applyFill="1" applyBorder="1" applyAlignment="1">
      <alignment vertical="center"/>
    </xf>
    <xf numFmtId="0" fontId="5" fillId="0" borderId="0" xfId="2" applyFont="1" applyFill="1" applyBorder="1"/>
    <xf numFmtId="170" fontId="7" fillId="0" borderId="0" xfId="2" applyNumberFormat="1" applyFont="1" applyFill="1" applyBorder="1" applyAlignment="1">
      <alignment horizontal="center"/>
    </xf>
    <xf numFmtId="0" fontId="15" fillId="0" borderId="0" xfId="2" applyFont="1" applyFill="1" applyBorder="1"/>
    <xf numFmtId="168" fontId="14" fillId="0" borderId="12" xfId="1" applyNumberFormat="1" applyFont="1" applyFill="1" applyBorder="1" applyAlignment="1">
      <alignment horizontal="center"/>
    </xf>
    <xf numFmtId="0" fontId="7" fillId="0" borderId="31" xfId="2" applyFont="1" applyBorder="1"/>
    <xf numFmtId="0" fontId="19" fillId="0" borderId="31" xfId="2" applyFont="1" applyBorder="1" applyAlignment="1">
      <alignment vertical="center"/>
    </xf>
    <xf numFmtId="0" fontId="5" fillId="0" borderId="31" xfId="2" applyFont="1" applyBorder="1"/>
    <xf numFmtId="0" fontId="15" fillId="0" borderId="31" xfId="2" applyFont="1" applyBorder="1"/>
    <xf numFmtId="171" fontId="14" fillId="0" borderId="12" xfId="2" applyNumberFormat="1" applyFont="1" applyFill="1" applyBorder="1" applyAlignment="1">
      <alignment horizontal="center"/>
    </xf>
    <xf numFmtId="168" fontId="14" fillId="0" borderId="13" xfId="1" applyNumberFormat="1" applyFont="1" applyFill="1" applyBorder="1" applyAlignment="1">
      <alignment horizontal="center"/>
    </xf>
    <xf numFmtId="166" fontId="13" fillId="0" borderId="12" xfId="2" applyNumberFormat="1" applyFont="1" applyFill="1" applyBorder="1" applyAlignment="1">
      <alignment horizontal="center"/>
    </xf>
    <xf numFmtId="166" fontId="13" fillId="0" borderId="13" xfId="2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169" fontId="6" fillId="4" borderId="12" xfId="2" applyNumberFormat="1" applyFont="1" applyFill="1" applyBorder="1" applyAlignment="1">
      <alignment horizontal="center"/>
    </xf>
    <xf numFmtId="178" fontId="6" fillId="4" borderId="13" xfId="2" applyNumberFormat="1" applyFont="1" applyFill="1" applyBorder="1" applyAlignment="1">
      <alignment horizontal="center"/>
    </xf>
    <xf numFmtId="169" fontId="6" fillId="4" borderId="1" xfId="2" applyNumberFormat="1" applyFont="1" applyFill="1" applyBorder="1" applyAlignment="1">
      <alignment horizontal="center"/>
    </xf>
    <xf numFmtId="0" fontId="7" fillId="0" borderId="0" xfId="2" applyFont="1" applyBorder="1"/>
    <xf numFmtId="0" fontId="6" fillId="0" borderId="18" xfId="0" applyFont="1" applyFill="1" applyBorder="1" applyAlignment="1">
      <alignment horizontal="left" vertical="center"/>
    </xf>
    <xf numFmtId="178" fontId="6" fillId="0" borderId="18" xfId="2" applyNumberFormat="1" applyFont="1" applyFill="1" applyBorder="1" applyAlignment="1">
      <alignment horizontal="center"/>
    </xf>
    <xf numFmtId="0" fontId="7" fillId="0" borderId="18" xfId="2" applyFont="1" applyFill="1" applyBorder="1"/>
    <xf numFmtId="0" fontId="7" fillId="0" borderId="18" xfId="2" applyFont="1" applyBorder="1"/>
    <xf numFmtId="169" fontId="6" fillId="7" borderId="12" xfId="2" applyNumberFormat="1" applyFont="1" applyFill="1" applyBorder="1" applyAlignment="1">
      <alignment horizontal="center"/>
    </xf>
    <xf numFmtId="178" fontId="6" fillId="7" borderId="13" xfId="2" applyNumberFormat="1" applyFont="1" applyFill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2" fillId="0" borderId="0" xfId="2" applyFont="1"/>
    <xf numFmtId="172" fontId="2" fillId="0" borderId="0" xfId="2" applyNumberFormat="1" applyFont="1"/>
    <xf numFmtId="172" fontId="2" fillId="0" borderId="31" xfId="2" applyNumberFormat="1" applyFont="1" applyBorder="1"/>
    <xf numFmtId="172" fontId="2" fillId="0" borderId="0" xfId="2" applyNumberFormat="1" applyFont="1" applyFill="1" applyBorder="1"/>
    <xf numFmtId="0" fontId="2" fillId="0" borderId="31" xfId="2" applyFont="1" applyBorder="1"/>
    <xf numFmtId="0" fontId="2" fillId="0" borderId="0" xfId="2" applyFont="1" applyFill="1" applyBorder="1"/>
    <xf numFmtId="0" fontId="2" fillId="0" borderId="13" xfId="2" applyFont="1" applyBorder="1"/>
    <xf numFmtId="176" fontId="2" fillId="0" borderId="0" xfId="2" applyNumberFormat="1" applyFont="1" applyFill="1" applyBorder="1"/>
    <xf numFmtId="0" fontId="2" fillId="0" borderId="12" xfId="2" applyFont="1" applyBorder="1" applyAlignment="1">
      <alignment horizontal="left"/>
    </xf>
    <xf numFmtId="0" fontId="2" fillId="0" borderId="14" xfId="2" applyFont="1" applyBorder="1"/>
    <xf numFmtId="0" fontId="8" fillId="0" borderId="31" xfId="0" applyFont="1" applyBorder="1"/>
    <xf numFmtId="0" fontId="8" fillId="0" borderId="0" xfId="0" applyFont="1" applyFill="1" applyBorder="1"/>
    <xf numFmtId="0" fontId="2" fillId="0" borderId="18" xfId="2" applyFont="1" applyFill="1" applyBorder="1"/>
    <xf numFmtId="172" fontId="2" fillId="0" borderId="18" xfId="2" applyNumberFormat="1" applyFont="1" applyFill="1" applyBorder="1" applyAlignment="1"/>
    <xf numFmtId="172" fontId="2" fillId="0" borderId="0" xfId="2" applyNumberFormat="1" applyFont="1" applyFill="1" applyBorder="1" applyAlignment="1"/>
    <xf numFmtId="0" fontId="2" fillId="0" borderId="0" xfId="2" applyFont="1" applyBorder="1"/>
    <xf numFmtId="0" fontId="2" fillId="0" borderId="12" xfId="2" applyFont="1" applyBorder="1"/>
    <xf numFmtId="172" fontId="2" fillId="3" borderId="26" xfId="2" applyNumberFormat="1" applyFont="1" applyFill="1" applyBorder="1" applyAlignment="1"/>
    <xf numFmtId="172" fontId="2" fillId="3" borderId="32" xfId="2" applyNumberFormat="1" applyFont="1" applyFill="1" applyBorder="1" applyAlignment="1"/>
    <xf numFmtId="0" fontId="8" fillId="0" borderId="0" xfId="0" applyFont="1" applyBorder="1"/>
    <xf numFmtId="0" fontId="2" fillId="0" borderId="18" xfId="2" applyFont="1" applyBorder="1"/>
    <xf numFmtId="169" fontId="8" fillId="0" borderId="0" xfId="0" applyNumberFormat="1" applyFont="1"/>
    <xf numFmtId="165" fontId="8" fillId="0" borderId="0" xfId="0" applyNumberFormat="1" applyFont="1"/>
    <xf numFmtId="9" fontId="8" fillId="0" borderId="0" xfId="1" applyFont="1"/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horizontal="center" vertical="center" wrapText="1"/>
    </xf>
    <xf numFmtId="0" fontId="2" fillId="0" borderId="18" xfId="2" applyFont="1" applyBorder="1" applyAlignment="1">
      <alignment vertical="center"/>
    </xf>
    <xf numFmtId="0" fontId="5" fillId="0" borderId="13" xfId="2" applyFont="1" applyBorder="1" applyAlignment="1">
      <alignment horizontal="center" vertical="center"/>
    </xf>
    <xf numFmtId="0" fontId="6" fillId="6" borderId="27" xfId="0" applyFont="1" applyFill="1" applyBorder="1" applyAlignment="1">
      <alignment horizontal="left" vertical="center"/>
    </xf>
    <xf numFmtId="169" fontId="6" fillId="7" borderId="27" xfId="2" applyNumberFormat="1" applyFont="1" applyFill="1" applyBorder="1" applyAlignment="1">
      <alignment horizontal="center"/>
    </xf>
    <xf numFmtId="169" fontId="6" fillId="4" borderId="27" xfId="2" applyNumberFormat="1" applyFont="1" applyFill="1" applyBorder="1" applyAlignment="1">
      <alignment horizontal="center"/>
    </xf>
    <xf numFmtId="0" fontId="6" fillId="5" borderId="27" xfId="0" applyFont="1" applyFill="1" applyBorder="1" applyAlignment="1">
      <alignment horizontal="left" vertical="center"/>
    </xf>
    <xf numFmtId="0" fontId="2" fillId="0" borderId="28" xfId="2" applyFont="1" applyBorder="1"/>
    <xf numFmtId="9" fontId="14" fillId="0" borderId="28" xfId="1" applyFont="1" applyFill="1" applyBorder="1" applyAlignment="1">
      <alignment horizontal="center"/>
    </xf>
    <xf numFmtId="166" fontId="13" fillId="0" borderId="14" xfId="2" applyNumberFormat="1" applyFont="1" applyFill="1" applyBorder="1" applyAlignment="1">
      <alignment horizontal="center"/>
    </xf>
    <xf numFmtId="166" fontId="13" fillId="0" borderId="27" xfId="2" applyNumberFormat="1" applyFont="1" applyFill="1" applyBorder="1" applyAlignment="1">
      <alignment horizontal="center"/>
    </xf>
    <xf numFmtId="0" fontId="14" fillId="0" borderId="18" xfId="2" applyFont="1" applyBorder="1" applyAlignment="1">
      <alignment horizontal="left" indent="1"/>
    </xf>
    <xf numFmtId="170" fontId="7" fillId="0" borderId="18" xfId="2" applyNumberFormat="1" applyFont="1" applyBorder="1" applyAlignment="1">
      <alignment horizontal="center"/>
    </xf>
    <xf numFmtId="0" fontId="2" fillId="0" borderId="13" xfId="2" applyFont="1" applyBorder="1" applyAlignment="1">
      <alignment vertical="center"/>
    </xf>
    <xf numFmtId="182" fontId="14" fillId="0" borderId="13" xfId="2" applyNumberFormat="1" applyFont="1" applyFill="1" applyBorder="1" applyAlignment="1">
      <alignment horizontal="center"/>
    </xf>
    <xf numFmtId="181" fontId="13" fillId="0" borderId="12" xfId="2" applyNumberFormat="1" applyFont="1" applyFill="1" applyBorder="1" applyAlignment="1">
      <alignment horizontal="center"/>
    </xf>
    <xf numFmtId="9" fontId="14" fillId="0" borderId="42" xfId="1" applyFont="1" applyFill="1" applyBorder="1" applyAlignment="1">
      <alignment horizontal="center"/>
    </xf>
    <xf numFmtId="9" fontId="14" fillId="0" borderId="13" xfId="1" applyFont="1" applyFill="1" applyBorder="1" applyAlignment="1">
      <alignment horizontal="center"/>
    </xf>
    <xf numFmtId="0" fontId="2" fillId="0" borderId="14" xfId="2" applyFont="1" applyBorder="1" applyAlignment="1">
      <alignment horizontal="left" indent="1"/>
    </xf>
    <xf numFmtId="0" fontId="2" fillId="0" borderId="13" xfId="2" applyFont="1" applyBorder="1" applyAlignment="1">
      <alignment horizontal="left" indent="1"/>
    </xf>
    <xf numFmtId="170" fontId="7" fillId="0" borderId="18" xfId="2" applyNumberFormat="1" applyFont="1" applyFill="1" applyBorder="1" applyAlignment="1">
      <alignment horizontal="center"/>
    </xf>
    <xf numFmtId="184" fontId="14" fillId="0" borderId="14" xfId="2" applyNumberFormat="1" applyFont="1" applyFill="1" applyBorder="1" applyAlignment="1">
      <alignment horizontal="center"/>
    </xf>
    <xf numFmtId="0" fontId="18" fillId="7" borderId="12" xfId="2" applyFont="1" applyFill="1" applyBorder="1" applyAlignment="1">
      <alignment horizontal="center" vertical="center"/>
    </xf>
    <xf numFmtId="0" fontId="23" fillId="0" borderId="0" xfId="2" applyFont="1" applyBorder="1" applyAlignment="1">
      <alignment vertical="center"/>
    </xf>
    <xf numFmtId="181" fontId="13" fillId="8" borderId="12" xfId="2" applyNumberFormat="1" applyFont="1" applyFill="1" applyBorder="1" applyAlignment="1">
      <alignment horizontal="center"/>
    </xf>
    <xf numFmtId="0" fontId="14" fillId="0" borderId="0" xfId="2" applyFont="1" applyBorder="1" applyAlignment="1">
      <alignment horizontal="left" indent="1"/>
    </xf>
    <xf numFmtId="170" fontId="7" fillId="0" borderId="0" xfId="2" applyNumberFormat="1" applyFont="1" applyBorder="1" applyAlignment="1">
      <alignment horizontal="center"/>
    </xf>
    <xf numFmtId="182" fontId="14" fillId="0" borderId="18" xfId="2" applyNumberFormat="1" applyFont="1" applyFill="1" applyBorder="1" applyAlignment="1">
      <alignment horizontal="center"/>
    </xf>
    <xf numFmtId="182" fontId="7" fillId="0" borderId="18" xfId="2" applyNumberFormat="1" applyFont="1" applyFill="1" applyBorder="1" applyAlignment="1">
      <alignment horizontal="center"/>
    </xf>
    <xf numFmtId="0" fontId="5" fillId="8" borderId="12" xfId="2" applyFont="1" applyFill="1" applyBorder="1"/>
    <xf numFmtId="0" fontId="5" fillId="8" borderId="13" xfId="2" applyFont="1" applyFill="1" applyBorder="1"/>
    <xf numFmtId="0" fontId="13" fillId="0" borderId="27" xfId="2" applyFont="1" applyBorder="1" applyAlignment="1"/>
    <xf numFmtId="0" fontId="5" fillId="8" borderId="14" xfId="2" applyFont="1" applyFill="1" applyBorder="1"/>
    <xf numFmtId="0" fontId="2" fillId="3" borderId="32" xfId="2" applyFont="1" applyFill="1" applyBorder="1" applyAlignment="1"/>
    <xf numFmtId="0" fontId="2" fillId="3" borderId="25" xfId="2" applyFont="1" applyFill="1" applyBorder="1" applyAlignment="1"/>
    <xf numFmtId="0" fontId="25" fillId="0" borderId="0" xfId="2" applyFont="1" applyAlignment="1">
      <alignment vertical="center"/>
    </xf>
    <xf numFmtId="166" fontId="6" fillId="0" borderId="18" xfId="2" applyNumberFormat="1" applyFont="1" applyFill="1" applyBorder="1" applyAlignment="1">
      <alignment horizontal="center"/>
    </xf>
    <xf numFmtId="9" fontId="14" fillId="8" borderId="28" xfId="1" applyFont="1" applyFill="1" applyBorder="1" applyAlignment="1">
      <alignment horizontal="center"/>
    </xf>
    <xf numFmtId="0" fontId="6" fillId="6" borderId="10" xfId="0" applyFont="1" applyFill="1" applyBorder="1" applyAlignment="1">
      <alignment vertical="center"/>
    </xf>
    <xf numFmtId="169" fontId="6" fillId="7" borderId="1" xfId="2" applyNumberFormat="1" applyFont="1" applyFill="1" applyBorder="1" applyAlignment="1">
      <alignment horizontal="center"/>
    </xf>
    <xf numFmtId="178" fontId="6" fillId="7" borderId="1" xfId="2" applyNumberFormat="1" applyFont="1" applyFill="1" applyBorder="1" applyAlignment="1">
      <alignment horizontal="center"/>
    </xf>
    <xf numFmtId="165" fontId="24" fillId="0" borderId="0" xfId="0" applyNumberFormat="1" applyFont="1" applyBorder="1" applyAlignment="1">
      <alignment horizontal="left" wrapText="1"/>
    </xf>
    <xf numFmtId="0" fontId="27" fillId="0" borderId="0" xfId="0" applyFont="1" applyAlignment="1">
      <alignment horizontal="left" vertical="center"/>
    </xf>
    <xf numFmtId="181" fontId="14" fillId="2" borderId="13" xfId="2" applyNumberFormat="1" applyFont="1" applyFill="1" applyBorder="1" applyAlignment="1">
      <alignment horizontal="center"/>
    </xf>
    <xf numFmtId="166" fontId="13" fillId="9" borderId="14" xfId="2" applyNumberFormat="1" applyFont="1" applyFill="1" applyBorder="1" applyAlignment="1">
      <alignment horizontal="center"/>
    </xf>
    <xf numFmtId="0" fontId="6" fillId="5" borderId="10" xfId="0" applyFont="1" applyFill="1" applyBorder="1" applyAlignment="1">
      <alignment vertical="center"/>
    </xf>
    <xf numFmtId="168" fontId="14" fillId="11" borderId="12" xfId="1" applyNumberFormat="1" applyFont="1" applyFill="1" applyBorder="1" applyAlignment="1">
      <alignment horizontal="center"/>
    </xf>
    <xf numFmtId="181" fontId="13" fillId="11" borderId="12" xfId="2" applyNumberFormat="1" applyFont="1" applyFill="1" applyBorder="1" applyAlignment="1">
      <alignment horizontal="center"/>
    </xf>
    <xf numFmtId="9" fontId="14" fillId="11" borderId="14" xfId="1" applyFont="1" applyFill="1" applyBorder="1" applyAlignment="1">
      <alignment horizontal="center"/>
    </xf>
    <xf numFmtId="182" fontId="14" fillId="11" borderId="13" xfId="2" applyNumberFormat="1" applyFont="1" applyFill="1" applyBorder="1" applyAlignment="1">
      <alignment horizontal="center"/>
    </xf>
    <xf numFmtId="169" fontId="14" fillId="11" borderId="12" xfId="2" applyNumberFormat="1" applyFont="1" applyFill="1" applyBorder="1" applyAlignment="1">
      <alignment horizontal="center"/>
    </xf>
    <xf numFmtId="166" fontId="13" fillId="11" borderId="12" xfId="2" applyNumberFormat="1" applyFont="1" applyFill="1" applyBorder="1" applyAlignment="1">
      <alignment horizontal="center"/>
    </xf>
    <xf numFmtId="166" fontId="13" fillId="11" borderId="14" xfId="2" applyNumberFormat="1" applyFont="1" applyFill="1" applyBorder="1" applyAlignment="1">
      <alignment horizontal="center"/>
    </xf>
    <xf numFmtId="166" fontId="13" fillId="11" borderId="13" xfId="2" applyNumberFormat="1" applyFont="1" applyFill="1" applyBorder="1" applyAlignment="1">
      <alignment horizontal="center"/>
    </xf>
    <xf numFmtId="171" fontId="14" fillId="11" borderId="12" xfId="2" applyNumberFormat="1" applyFont="1" applyFill="1" applyBorder="1" applyAlignment="1">
      <alignment horizontal="center"/>
    </xf>
    <xf numFmtId="168" fontId="14" fillId="11" borderId="13" xfId="1" applyNumberFormat="1" applyFont="1" applyFill="1" applyBorder="1" applyAlignment="1">
      <alignment horizontal="center"/>
    </xf>
    <xf numFmtId="173" fontId="17" fillId="0" borderId="0" xfId="0" applyNumberFormat="1" applyFont="1"/>
    <xf numFmtId="4" fontId="6" fillId="7" borderId="4" xfId="0" applyNumberFormat="1" applyFont="1" applyFill="1" applyBorder="1" applyAlignment="1">
      <alignment vertical="center"/>
    </xf>
    <xf numFmtId="175" fontId="6" fillId="6" borderId="5" xfId="0" applyNumberFormat="1" applyFont="1" applyFill="1" applyBorder="1" applyAlignment="1">
      <alignment horizontal="right" vertical="center"/>
    </xf>
    <xf numFmtId="175" fontId="6" fillId="6" borderId="6" xfId="0" applyNumberFormat="1" applyFont="1" applyFill="1" applyBorder="1" applyAlignment="1">
      <alignment horizontal="right" vertical="center"/>
    </xf>
    <xf numFmtId="174" fontId="6" fillId="7" borderId="1" xfId="0" applyNumberFormat="1" applyFont="1" applyFill="1" applyBorder="1" applyAlignment="1">
      <alignment vertical="center"/>
    </xf>
    <xf numFmtId="174" fontId="6" fillId="7" borderId="11" xfId="0" applyNumberFormat="1" applyFont="1" applyFill="1" applyBorder="1" applyAlignment="1">
      <alignment vertical="center"/>
    </xf>
    <xf numFmtId="10" fontId="6" fillId="7" borderId="1" xfId="1" applyNumberFormat="1" applyFont="1" applyFill="1" applyBorder="1" applyAlignment="1">
      <alignment vertical="center"/>
    </xf>
    <xf numFmtId="10" fontId="6" fillId="7" borderId="11" xfId="1" applyNumberFormat="1" applyFont="1" applyFill="1" applyBorder="1" applyAlignment="1">
      <alignment vertical="center"/>
    </xf>
    <xf numFmtId="4" fontId="6" fillId="7" borderId="10" xfId="0" applyNumberFormat="1" applyFont="1" applyFill="1" applyBorder="1" applyAlignment="1">
      <alignment vertical="center"/>
    </xf>
    <xf numFmtId="173" fontId="6" fillId="7" borderId="1" xfId="0" applyNumberFormat="1" applyFont="1" applyFill="1" applyBorder="1" applyAlignment="1">
      <alignment vertical="center"/>
    </xf>
    <xf numFmtId="173" fontId="6" fillId="7" borderId="11" xfId="0" applyNumberFormat="1" applyFont="1" applyFill="1" applyBorder="1" applyAlignment="1">
      <alignment vertical="center"/>
    </xf>
    <xf numFmtId="177" fontId="6" fillId="7" borderId="8" xfId="0" applyNumberFormat="1" applyFont="1" applyFill="1" applyBorder="1" applyAlignment="1">
      <alignment vertical="center"/>
    </xf>
    <xf numFmtId="177" fontId="6" fillId="7" borderId="9" xfId="0" applyNumberFormat="1" applyFont="1" applyFill="1" applyBorder="1" applyAlignment="1">
      <alignment vertical="center"/>
    </xf>
    <xf numFmtId="4" fontId="6" fillId="7" borderId="20" xfId="0" applyNumberFormat="1" applyFont="1" applyFill="1" applyBorder="1" applyAlignment="1">
      <alignment vertical="center"/>
    </xf>
    <xf numFmtId="175" fontId="6" fillId="6" borderId="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1" fillId="0" borderId="0" xfId="0" applyFont="1"/>
    <xf numFmtId="169" fontId="8" fillId="8" borderId="12" xfId="0" applyNumberFormat="1" applyFont="1" applyFill="1" applyBorder="1"/>
    <xf numFmtId="169" fontId="8" fillId="8" borderId="14" xfId="0" applyNumberFormat="1" applyFont="1" applyFill="1" applyBorder="1"/>
    <xf numFmtId="0" fontId="8" fillId="8" borderId="12" xfId="0" applyFont="1" applyFill="1" applyBorder="1"/>
    <xf numFmtId="0" fontId="8" fillId="8" borderId="14" xfId="0" applyFont="1" applyFill="1" applyBorder="1"/>
    <xf numFmtId="169" fontId="8" fillId="8" borderId="28" xfId="0" applyNumberFormat="1" applyFont="1" applyFill="1" applyBorder="1"/>
    <xf numFmtId="169" fontId="6" fillId="4" borderId="27" xfId="0" applyNumberFormat="1" applyFont="1" applyFill="1" applyBorder="1"/>
    <xf numFmtId="0" fontId="28" fillId="0" borderId="0" xfId="0" applyFont="1" applyBorder="1" applyAlignment="1">
      <alignment horizontal="left" vertical="center" wrapText="1"/>
    </xf>
    <xf numFmtId="0" fontId="8" fillId="0" borderId="0" xfId="0" applyFont="1" applyBorder="1" applyAlignment="1"/>
    <xf numFmtId="0" fontId="33" fillId="0" borderId="0" xfId="0" applyFont="1"/>
    <xf numFmtId="172" fontId="2" fillId="3" borderId="25" xfId="2" applyNumberFormat="1" applyFont="1" applyFill="1" applyBorder="1" applyAlignment="1"/>
    <xf numFmtId="169" fontId="35" fillId="4" borderId="27" xfId="0" applyNumberFormat="1" applyFont="1" applyFill="1" applyBorder="1"/>
    <xf numFmtId="166" fontId="6" fillId="7" borderId="21" xfId="0" applyNumberFormat="1" applyFont="1" applyFill="1" applyBorder="1" applyAlignment="1">
      <alignment vertical="center"/>
    </xf>
    <xf numFmtId="0" fontId="24" fillId="0" borderId="39" xfId="0" applyFont="1" applyBorder="1" applyAlignment="1"/>
    <xf numFmtId="0" fontId="24" fillId="0" borderId="40" xfId="0" applyFont="1" applyBorder="1" applyAlignment="1"/>
    <xf numFmtId="0" fontId="24" fillId="0" borderId="41" xfId="0" applyFont="1" applyBorder="1" applyAlignment="1"/>
    <xf numFmtId="185" fontId="6" fillId="6" borderId="6" xfId="0" applyNumberFormat="1" applyFont="1" applyFill="1" applyBorder="1" applyAlignment="1">
      <alignment horizontal="center" vertical="center"/>
    </xf>
    <xf numFmtId="174" fontId="6" fillId="7" borderId="11" xfId="0" applyNumberFormat="1" applyFont="1" applyFill="1" applyBorder="1" applyAlignment="1">
      <alignment horizontal="center" vertical="center"/>
    </xf>
    <xf numFmtId="10" fontId="6" fillId="7" borderId="11" xfId="1" applyNumberFormat="1" applyFont="1" applyFill="1" applyBorder="1" applyAlignment="1">
      <alignment horizontal="center" vertical="center"/>
    </xf>
    <xf numFmtId="173" fontId="6" fillId="7" borderId="11" xfId="0" applyNumberFormat="1" applyFont="1" applyFill="1" applyBorder="1" applyAlignment="1">
      <alignment horizontal="center" vertical="center"/>
    </xf>
    <xf numFmtId="177" fontId="6" fillId="7" borderId="9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indent="1"/>
    </xf>
    <xf numFmtId="167" fontId="13" fillId="0" borderId="0" xfId="2" applyNumberFormat="1" applyFont="1" applyFill="1" applyBorder="1" applyAlignment="1">
      <alignment horizontal="center"/>
    </xf>
    <xf numFmtId="180" fontId="14" fillId="0" borderId="0" xfId="2" applyNumberFormat="1" applyFont="1" applyFill="1" applyBorder="1" applyAlignment="1">
      <alignment horizontal="center"/>
    </xf>
    <xf numFmtId="0" fontId="5" fillId="0" borderId="0" xfId="2" applyFont="1" applyBorder="1" applyAlignment="1">
      <alignment horizontal="left" vertical="center"/>
    </xf>
    <xf numFmtId="0" fontId="36" fillId="0" borderId="0" xfId="0" applyFont="1"/>
    <xf numFmtId="0" fontId="36" fillId="0" borderId="0" xfId="0" applyFont="1" applyBorder="1"/>
    <xf numFmtId="0" fontId="36" fillId="0" borderId="0" xfId="0" applyFont="1" applyBorder="1" applyAlignment="1">
      <alignment horizontal="center"/>
    </xf>
    <xf numFmtId="0" fontId="36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183" fontId="17" fillId="0" borderId="0" xfId="0" applyNumberFormat="1" applyFont="1" applyBorder="1"/>
    <xf numFmtId="170" fontId="14" fillId="0" borderId="0" xfId="2" applyNumberFormat="1" applyFont="1" applyFill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31" fillId="0" borderId="0" xfId="13" applyFont="1" applyBorder="1" applyAlignment="1">
      <alignment horizontal="left"/>
    </xf>
    <xf numFmtId="0" fontId="32" fillId="0" borderId="0" xfId="13" applyFont="1" applyBorder="1" applyAlignment="1">
      <alignment horizontal="left"/>
    </xf>
    <xf numFmtId="165" fontId="13" fillId="0" borderId="4" xfId="2" applyNumberFormat="1" applyFont="1" applyFill="1" applyBorder="1" applyAlignment="1">
      <alignment horizontal="center"/>
    </xf>
    <xf numFmtId="176" fontId="14" fillId="11" borderId="7" xfId="2" applyNumberFormat="1" applyFont="1" applyFill="1" applyBorder="1" applyAlignment="1">
      <alignment horizontal="center"/>
    </xf>
    <xf numFmtId="169" fontId="14" fillId="11" borderId="13" xfId="2" applyNumberFormat="1" applyFont="1" applyFill="1" applyBorder="1" applyAlignment="1">
      <alignment horizontal="center"/>
    </xf>
    <xf numFmtId="169" fontId="14" fillId="11" borderId="14" xfId="2" applyNumberFormat="1" applyFont="1" applyFill="1" applyBorder="1" applyAlignment="1">
      <alignment horizontal="center"/>
    </xf>
    <xf numFmtId="172" fontId="13" fillId="11" borderId="27" xfId="2" applyNumberFormat="1" applyFont="1" applyFill="1" applyBorder="1" applyAlignment="1">
      <alignment horizontal="center"/>
    </xf>
    <xf numFmtId="169" fontId="6" fillId="7" borderId="4" xfId="2" applyNumberFormat="1" applyFont="1" applyFill="1" applyBorder="1" applyAlignment="1">
      <alignment horizontal="center"/>
    </xf>
    <xf numFmtId="178" fontId="6" fillId="7" borderId="7" xfId="2" applyNumberFormat="1" applyFont="1" applyFill="1" applyBorder="1" applyAlignment="1">
      <alignment horizontal="center"/>
    </xf>
    <xf numFmtId="186" fontId="14" fillId="0" borderId="14" xfId="2" applyNumberFormat="1" applyFont="1" applyFill="1" applyBorder="1" applyAlignment="1">
      <alignment horizontal="center"/>
    </xf>
    <xf numFmtId="170" fontId="14" fillId="11" borderId="13" xfId="0" applyNumberFormat="1" applyFont="1" applyFill="1" applyBorder="1" applyAlignment="1"/>
    <xf numFmtId="0" fontId="6" fillId="7" borderId="20" xfId="0" applyFont="1" applyFill="1" applyBorder="1"/>
    <xf numFmtId="188" fontId="6" fillId="7" borderId="21" xfId="0" applyNumberFormat="1" applyFont="1" applyFill="1" applyBorder="1"/>
    <xf numFmtId="188" fontId="6" fillId="7" borderId="44" xfId="0" applyNumberFormat="1" applyFont="1" applyFill="1" applyBorder="1"/>
    <xf numFmtId="187" fontId="14" fillId="11" borderId="13" xfId="2" applyNumberFormat="1" applyFont="1" applyFill="1" applyBorder="1" applyAlignment="1">
      <alignment horizontal="center"/>
    </xf>
    <xf numFmtId="189" fontId="13" fillId="11" borderId="27" xfId="2" applyNumberFormat="1" applyFont="1" applyFill="1" applyBorder="1" applyAlignment="1">
      <alignment horizontal="center"/>
    </xf>
    <xf numFmtId="189" fontId="13" fillId="0" borderId="27" xfId="2" applyNumberFormat="1" applyFont="1" applyFill="1" applyBorder="1" applyAlignment="1">
      <alignment horizontal="center"/>
    </xf>
    <xf numFmtId="170" fontId="14" fillId="0" borderId="13" xfId="2" applyNumberFormat="1" applyFont="1" applyFill="1" applyBorder="1" applyAlignment="1">
      <alignment vertical="center"/>
    </xf>
    <xf numFmtId="169" fontId="6" fillId="7" borderId="22" xfId="2" applyNumberFormat="1" applyFont="1" applyFill="1" applyBorder="1" applyAlignment="1">
      <alignment horizontal="center"/>
    </xf>
    <xf numFmtId="0" fontId="6" fillId="6" borderId="15" xfId="0" applyFont="1" applyFill="1" applyBorder="1" applyAlignment="1">
      <alignment horizontal="left" vertical="center"/>
    </xf>
    <xf numFmtId="0" fontId="6" fillId="6" borderId="29" xfId="0" applyFont="1" applyFill="1" applyBorder="1" applyAlignment="1">
      <alignment horizontal="left" vertical="center"/>
    </xf>
    <xf numFmtId="169" fontId="14" fillId="0" borderId="15" xfId="2" applyNumberFormat="1" applyFont="1" applyFill="1" applyBorder="1" applyAlignment="1">
      <alignment horizontal="center" vertical="center"/>
    </xf>
    <xf numFmtId="169" fontId="14" fillId="0" borderId="30" xfId="2" applyNumberFormat="1" applyFont="1" applyFill="1" applyBorder="1" applyAlignment="1">
      <alignment horizontal="center" vertical="center"/>
    </xf>
    <xf numFmtId="169" fontId="14" fillId="0" borderId="29" xfId="2" applyNumberFormat="1" applyFont="1" applyFill="1" applyBorder="1" applyAlignment="1">
      <alignment horizontal="center" vertical="center"/>
    </xf>
    <xf numFmtId="0" fontId="2" fillId="3" borderId="26" xfId="2" applyFont="1" applyFill="1" applyBorder="1" applyAlignment="1">
      <alignment horizontal="center"/>
    </xf>
    <xf numFmtId="0" fontId="2" fillId="3" borderId="32" xfId="2" applyFont="1" applyFill="1" applyBorder="1" applyAlignment="1">
      <alignment horizontal="center"/>
    </xf>
    <xf numFmtId="0" fontId="2" fillId="3" borderId="25" xfId="2" applyFont="1" applyFill="1" applyBorder="1" applyAlignment="1">
      <alignment horizontal="center"/>
    </xf>
    <xf numFmtId="0" fontId="2" fillId="0" borderId="28" xfId="2" applyFont="1" applyBorder="1" applyAlignment="1">
      <alignment horizontal="left" vertical="center"/>
    </xf>
    <xf numFmtId="0" fontId="2" fillId="0" borderId="29" xfId="2" applyFont="1" applyBorder="1" applyAlignment="1">
      <alignment horizontal="left" vertical="center"/>
    </xf>
    <xf numFmtId="0" fontId="24" fillId="0" borderId="39" xfId="2" applyFont="1" applyBorder="1" applyAlignment="1">
      <alignment horizontal="center"/>
    </xf>
    <xf numFmtId="0" fontId="24" fillId="0" borderId="40" xfId="2" applyFont="1" applyBorder="1" applyAlignment="1">
      <alignment horizontal="center"/>
    </xf>
    <xf numFmtId="0" fontId="24" fillId="0" borderId="41" xfId="2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0" fontId="28" fillId="0" borderId="33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left" vertical="center" wrapText="1"/>
    </xf>
    <xf numFmtId="0" fontId="28" fillId="0" borderId="35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0" fontId="28" fillId="0" borderId="36" xfId="0" applyFont="1" applyBorder="1" applyAlignment="1">
      <alignment horizontal="left" vertical="center" wrapText="1"/>
    </xf>
    <xf numFmtId="0" fontId="28" fillId="0" borderId="37" xfId="0" applyFont="1" applyBorder="1" applyAlignment="1">
      <alignment horizontal="left" vertical="center" wrapText="1"/>
    </xf>
    <xf numFmtId="0" fontId="28" fillId="0" borderId="38" xfId="0" applyFont="1" applyBorder="1" applyAlignment="1">
      <alignment horizontal="left" vertical="center" wrapText="1"/>
    </xf>
    <xf numFmtId="169" fontId="14" fillId="0" borderId="15" xfId="2" applyNumberFormat="1" applyFont="1" applyFill="1" applyBorder="1" applyAlignment="1">
      <alignment horizontal="left" vertical="center"/>
    </xf>
    <xf numFmtId="169" fontId="14" fillId="0" borderId="30" xfId="2" applyNumberFormat="1" applyFont="1" applyFill="1" applyBorder="1" applyAlignment="1">
      <alignment horizontal="left" vertical="center"/>
    </xf>
    <xf numFmtId="169" fontId="14" fillId="0" borderId="29" xfId="2" applyNumberFormat="1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29" xfId="0" applyFont="1" applyFill="1" applyBorder="1" applyAlignment="1">
      <alignment horizontal="left" vertical="center"/>
    </xf>
    <xf numFmtId="0" fontId="36" fillId="0" borderId="0" xfId="0" applyFont="1" applyBorder="1" applyAlignment="1">
      <alignment horizontal="center"/>
    </xf>
    <xf numFmtId="0" fontId="2" fillId="3" borderId="26" xfId="2" applyFont="1" applyFill="1" applyBorder="1" applyAlignment="1">
      <alignment horizontal="center" vertical="center"/>
    </xf>
    <xf numFmtId="0" fontId="2" fillId="3" borderId="25" xfId="2" applyFont="1" applyFill="1" applyBorder="1" applyAlignment="1">
      <alignment horizontal="center" vertical="center"/>
    </xf>
    <xf numFmtId="0" fontId="18" fillId="4" borderId="22" xfId="2" applyFont="1" applyFill="1" applyBorder="1" applyAlignment="1">
      <alignment horizontal="center" vertical="center"/>
    </xf>
    <xf numFmtId="0" fontId="18" fillId="4" borderId="23" xfId="2" applyFont="1" applyFill="1" applyBorder="1" applyAlignment="1">
      <alignment horizontal="center" vertical="center"/>
    </xf>
    <xf numFmtId="0" fontId="18" fillId="4" borderId="24" xfId="2" applyFont="1" applyFill="1" applyBorder="1" applyAlignment="1">
      <alignment horizontal="center" vertical="center"/>
    </xf>
    <xf numFmtId="0" fontId="26" fillId="10" borderId="2" xfId="0" applyFont="1" applyFill="1" applyBorder="1" applyAlignment="1">
      <alignment horizontal="center" vertical="center"/>
    </xf>
    <xf numFmtId="0" fontId="26" fillId="10" borderId="16" xfId="0" applyFont="1" applyFill="1" applyBorder="1" applyAlignment="1">
      <alignment horizontal="center" vertical="center"/>
    </xf>
    <xf numFmtId="0" fontId="26" fillId="10" borderId="17" xfId="0" applyFont="1" applyFill="1" applyBorder="1" applyAlignment="1">
      <alignment horizontal="center" vertical="center"/>
    </xf>
    <xf numFmtId="0" fontId="26" fillId="10" borderId="3" xfId="0" applyFont="1" applyFill="1" applyBorder="1" applyAlignment="1">
      <alignment horizontal="center" vertical="center"/>
    </xf>
    <xf numFmtId="0" fontId="26" fillId="10" borderId="18" xfId="0" applyFont="1" applyFill="1" applyBorder="1" applyAlignment="1">
      <alignment horizontal="center" vertical="center"/>
    </xf>
    <xf numFmtId="0" fontId="26" fillId="10" borderId="19" xfId="0" applyFont="1" applyFill="1" applyBorder="1" applyAlignment="1">
      <alignment horizontal="center" vertical="center"/>
    </xf>
    <xf numFmtId="172" fontId="2" fillId="3" borderId="26" xfId="2" applyNumberFormat="1" applyFont="1" applyFill="1" applyBorder="1" applyAlignment="1">
      <alignment horizontal="center"/>
    </xf>
    <xf numFmtId="172" fontId="2" fillId="3" borderId="32" xfId="2" applyNumberFormat="1" applyFont="1" applyFill="1" applyBorder="1" applyAlignment="1">
      <alignment horizontal="center"/>
    </xf>
    <xf numFmtId="172" fontId="2" fillId="3" borderId="25" xfId="2" applyNumberFormat="1" applyFont="1" applyFill="1" applyBorder="1" applyAlignment="1">
      <alignment horizontal="center"/>
    </xf>
    <xf numFmtId="0" fontId="29" fillId="0" borderId="33" xfId="0" applyFont="1" applyBorder="1" applyAlignment="1">
      <alignment horizontal="left" vertical="center" wrapText="1"/>
    </xf>
    <xf numFmtId="0" fontId="29" fillId="0" borderId="34" xfId="0" applyFont="1" applyBorder="1" applyAlignment="1">
      <alignment horizontal="left" vertical="center" wrapText="1"/>
    </xf>
    <xf numFmtId="0" fontId="29" fillId="0" borderId="35" xfId="0" applyFont="1" applyBorder="1" applyAlignment="1">
      <alignment horizontal="left" vertical="center" wrapText="1"/>
    </xf>
    <xf numFmtId="0" fontId="29" fillId="0" borderId="36" xfId="0" applyFont="1" applyBorder="1" applyAlignment="1">
      <alignment horizontal="left" vertical="center" wrapText="1"/>
    </xf>
    <xf numFmtId="0" fontId="29" fillId="0" borderId="37" xfId="0" applyFont="1" applyBorder="1" applyAlignment="1">
      <alignment horizontal="left" vertical="center" wrapText="1"/>
    </xf>
    <xf numFmtId="0" fontId="29" fillId="0" borderId="38" xfId="0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29" xfId="2" applyFont="1" applyBorder="1" applyAlignment="1">
      <alignment horizontal="left" vertical="center"/>
    </xf>
    <xf numFmtId="0" fontId="17" fillId="0" borderId="0" xfId="0" applyFont="1" applyBorder="1" applyAlignment="1">
      <alignment horizontal="left"/>
    </xf>
    <xf numFmtId="165" fontId="24" fillId="0" borderId="33" xfId="0" applyNumberFormat="1" applyFont="1" applyBorder="1" applyAlignment="1">
      <alignment horizontal="left" vertical="center" wrapText="1"/>
    </xf>
    <xf numFmtId="165" fontId="24" fillId="0" borderId="34" xfId="0" applyNumberFormat="1" applyFont="1" applyBorder="1" applyAlignment="1">
      <alignment horizontal="left" vertical="center" wrapText="1"/>
    </xf>
    <xf numFmtId="165" fontId="24" fillId="0" borderId="35" xfId="0" applyNumberFormat="1" applyFont="1" applyBorder="1" applyAlignment="1">
      <alignment horizontal="left" vertical="center" wrapText="1"/>
    </xf>
    <xf numFmtId="165" fontId="24" fillId="0" borderId="36" xfId="0" applyNumberFormat="1" applyFont="1" applyBorder="1" applyAlignment="1">
      <alignment horizontal="left" vertical="center" wrapText="1"/>
    </xf>
    <xf numFmtId="165" fontId="24" fillId="0" borderId="37" xfId="0" applyNumberFormat="1" applyFont="1" applyBorder="1" applyAlignment="1">
      <alignment horizontal="left" vertical="center" wrapText="1"/>
    </xf>
    <xf numFmtId="165" fontId="24" fillId="0" borderId="38" xfId="0" applyNumberFormat="1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/>
    </xf>
    <xf numFmtId="4" fontId="6" fillId="7" borderId="10" xfId="0" applyNumberFormat="1" applyFont="1" applyFill="1" applyBorder="1" applyAlignment="1">
      <alignment horizontal="left" vertical="center"/>
    </xf>
    <xf numFmtId="4" fontId="6" fillId="7" borderId="7" xfId="0" applyNumberFormat="1" applyFont="1" applyFill="1" applyBorder="1" applyAlignment="1">
      <alignment horizontal="left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</cellXfs>
  <cellStyles count="14">
    <cellStyle name="Heading" xfId="3" xr:uid="{00000000-0005-0000-0000-000000000000}"/>
    <cellStyle name="Heading 2" xfId="8" xr:uid="{00000000-0005-0000-0000-000001000000}"/>
    <cellStyle name="Heading1" xfId="4" xr:uid="{00000000-0005-0000-0000-000002000000}"/>
    <cellStyle name="Heading1 2" xfId="9" xr:uid="{00000000-0005-0000-0000-000003000000}"/>
    <cellStyle name="Link" xfId="13" builtinId="8"/>
    <cellStyle name="Prozent" xfId="1" builtinId="5"/>
    <cellStyle name="Prozent 2" xfId="12" xr:uid="{00000000-0005-0000-0000-000005000000}"/>
    <cellStyle name="Result" xfId="5" xr:uid="{00000000-0005-0000-0000-000006000000}"/>
    <cellStyle name="Result 2" xfId="10" xr:uid="{00000000-0005-0000-0000-000007000000}"/>
    <cellStyle name="Result2" xfId="6" xr:uid="{00000000-0005-0000-0000-000008000000}"/>
    <cellStyle name="Result2 2" xfId="11" xr:uid="{00000000-0005-0000-0000-000009000000}"/>
    <cellStyle name="Standard" xfId="0" builtinId="0"/>
    <cellStyle name="Standard 2" xfId="2" xr:uid="{00000000-0005-0000-0000-00000B000000}"/>
    <cellStyle name="Standard 3" xfId="7" xr:uid="{00000000-0005-0000-0000-00000C000000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9E4EF-016C-404F-9CF4-013ED46CC76F}">
  <dimension ref="B1:AD107"/>
  <sheetViews>
    <sheetView tabSelected="1" zoomScaleNormal="100" workbookViewId="0">
      <pane ySplit="7" topLeftCell="A8" activePane="bottomLeft" state="frozen"/>
      <selection pane="bottomLeft" activeCell="D31" sqref="D31"/>
    </sheetView>
  </sheetViews>
  <sheetFormatPr baseColWidth="10" defaultRowHeight="14.25" x14ac:dyDescent="0.2"/>
  <cols>
    <col min="1" max="1" width="5.7109375" style="7" customWidth="1"/>
    <col min="2" max="2" width="48.28515625" style="7" bestFit="1" customWidth="1"/>
    <col min="3" max="3" width="1.28515625" style="7" customWidth="1"/>
    <col min="4" max="4" width="15.7109375" style="7" customWidth="1"/>
    <col min="5" max="5" width="3.28515625" style="7" customWidth="1"/>
    <col min="6" max="6" width="0.7109375" style="7" customWidth="1"/>
    <col min="7" max="7" width="3.28515625" style="7" customWidth="1"/>
    <col min="8" max="8" width="15.7109375" style="7" customWidth="1"/>
    <col min="9" max="9" width="3.28515625" style="7" customWidth="1"/>
    <col min="10" max="10" width="0.7109375" style="7" customWidth="1"/>
    <col min="11" max="11" width="3.28515625" style="7" customWidth="1"/>
    <col min="12" max="12" width="15.7109375" style="7" customWidth="1"/>
    <col min="13" max="13" width="1.42578125" style="7" customWidth="1"/>
    <col min="14" max="14" width="59" style="7" bestFit="1" customWidth="1"/>
    <col min="15" max="15" width="3.28515625" style="7" customWidth="1"/>
    <col min="16" max="16" width="11.42578125" style="7"/>
    <col min="17" max="17" width="12.85546875" style="7" customWidth="1"/>
    <col min="18" max="26" width="15.7109375" style="7" customWidth="1"/>
    <col min="27" max="27" width="11.42578125" style="7"/>
    <col min="28" max="28" width="19.5703125" style="7" bestFit="1" customWidth="1"/>
    <col min="29" max="29" width="13.7109375" style="7" bestFit="1" customWidth="1"/>
    <col min="30" max="16384" width="11.42578125" style="7"/>
  </cols>
  <sheetData>
    <row r="1" spans="2:30" ht="15" thickBot="1" x14ac:dyDescent="0.25"/>
    <row r="2" spans="2:30" ht="21" customHeight="1" x14ac:dyDescent="0.2">
      <c r="B2" s="258" t="s">
        <v>105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60"/>
      <c r="O2" s="61"/>
    </row>
    <row r="3" spans="2:30" ht="21" customHeight="1" thickBot="1" x14ac:dyDescent="0.25">
      <c r="B3" s="261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3"/>
      <c r="O3" s="61"/>
    </row>
    <row r="4" spans="2:30" ht="15.75" customHeight="1" x14ac:dyDescent="0.2">
      <c r="B4" s="142" t="s">
        <v>23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2:30" ht="15.75" customHeight="1" thickBot="1" x14ac:dyDescent="0.25"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Z5" s="197"/>
      <c r="AA5" s="197"/>
      <c r="AB5" s="197"/>
      <c r="AC5" s="197"/>
      <c r="AD5" s="197"/>
    </row>
    <row r="6" spans="2:30" ht="33" customHeight="1" thickBot="1" x14ac:dyDescent="0.25">
      <c r="B6" s="122" t="s">
        <v>99</v>
      </c>
      <c r="C6" s="74"/>
      <c r="D6" s="100" t="s">
        <v>91</v>
      </c>
      <c r="E6" s="74"/>
      <c r="F6" s="253"/>
      <c r="G6" s="74"/>
      <c r="H6" s="100" t="s">
        <v>97</v>
      </c>
      <c r="I6" s="74"/>
      <c r="J6" s="253"/>
      <c r="K6" s="74"/>
      <c r="L6" s="255" t="s">
        <v>39</v>
      </c>
      <c r="M6" s="256"/>
      <c r="N6" s="257"/>
      <c r="O6" s="73"/>
      <c r="Z6" s="197"/>
      <c r="AA6" s="197"/>
      <c r="AB6" s="197"/>
      <c r="AC6" s="197"/>
      <c r="AD6" s="197"/>
    </row>
    <row r="7" spans="2:30" ht="33.75" customHeight="1" thickBot="1" x14ac:dyDescent="0.25">
      <c r="B7" s="99" t="s">
        <v>40</v>
      </c>
      <c r="C7" s="74"/>
      <c r="D7" s="102" t="s">
        <v>100</v>
      </c>
      <c r="E7" s="74"/>
      <c r="F7" s="254"/>
      <c r="G7" s="74"/>
      <c r="H7" s="102" t="s">
        <v>100</v>
      </c>
      <c r="I7" s="74"/>
      <c r="J7" s="254"/>
      <c r="K7" s="74"/>
      <c r="L7" s="123"/>
      <c r="M7" s="123"/>
      <c r="N7" s="123"/>
      <c r="O7" s="73"/>
      <c r="Z7" s="197"/>
      <c r="AA7" s="197"/>
      <c r="AB7" s="197"/>
      <c r="AC7" s="197"/>
      <c r="AD7" s="197"/>
    </row>
    <row r="8" spans="2:30" ht="15.75" customHeight="1" thickBot="1" x14ac:dyDescent="0.25"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73"/>
      <c r="Z8" s="197"/>
      <c r="AA8" s="197"/>
      <c r="AB8" s="197"/>
      <c r="AC8" s="197"/>
      <c r="AD8" s="197"/>
    </row>
    <row r="9" spans="2:30" ht="15.75" customHeight="1" thickBot="1" x14ac:dyDescent="0.25">
      <c r="B9" s="7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Z9" s="197"/>
      <c r="AA9" s="198"/>
      <c r="AB9" s="199" t="s">
        <v>42</v>
      </c>
      <c r="AC9" s="198"/>
      <c r="AD9" s="197"/>
    </row>
    <row r="10" spans="2:30" ht="15.75" thickBot="1" x14ac:dyDescent="0.3">
      <c r="B10" s="29" t="s">
        <v>2</v>
      </c>
      <c r="C10" s="75"/>
      <c r="D10" s="211">
        <v>172</v>
      </c>
      <c r="E10" s="76"/>
      <c r="F10" s="264"/>
      <c r="G10" s="77"/>
      <c r="H10" s="44">
        <f>D10</f>
        <v>172</v>
      </c>
      <c r="I10" s="76"/>
      <c r="J10" s="264"/>
      <c r="K10" s="77"/>
      <c r="L10" s="44">
        <f>H10</f>
        <v>172</v>
      </c>
      <c r="M10" s="76"/>
      <c r="N10" s="29" t="s">
        <v>2</v>
      </c>
      <c r="O10" s="78"/>
      <c r="Z10" s="197"/>
      <c r="AA10" s="200"/>
      <c r="AB10" s="201" t="s">
        <v>41</v>
      </c>
      <c r="AC10" s="198"/>
      <c r="AD10" s="197"/>
    </row>
    <row r="11" spans="2:30" ht="15" thickBot="1" x14ac:dyDescent="0.25">
      <c r="B11" s="75"/>
      <c r="C11" s="75"/>
      <c r="D11" s="4"/>
      <c r="E11" s="75"/>
      <c r="F11" s="265"/>
      <c r="G11" s="79"/>
      <c r="H11" s="4"/>
      <c r="I11" s="75"/>
      <c r="J11" s="265"/>
      <c r="K11" s="79"/>
      <c r="L11" s="4"/>
      <c r="M11" s="75"/>
      <c r="N11" s="75"/>
      <c r="O11" s="80"/>
      <c r="Z11" s="197"/>
      <c r="AA11" s="200"/>
      <c r="AB11" s="201" t="s">
        <v>3</v>
      </c>
      <c r="AC11" s="198"/>
      <c r="AD11" s="197"/>
    </row>
    <row r="12" spans="2:30" ht="15" x14ac:dyDescent="0.25">
      <c r="B12" s="17" t="s">
        <v>75</v>
      </c>
      <c r="C12" s="75"/>
      <c r="D12" s="207">
        <f>D10*D13/1000</f>
        <v>16.34</v>
      </c>
      <c r="E12" s="75"/>
      <c r="F12" s="265"/>
      <c r="G12" s="79"/>
      <c r="H12" s="30">
        <f>D12</f>
        <v>16.34</v>
      </c>
      <c r="I12" s="75"/>
      <c r="J12" s="265"/>
      <c r="K12" s="79"/>
      <c r="L12" s="30">
        <f>H12</f>
        <v>16.34</v>
      </c>
      <c r="M12" s="75"/>
      <c r="N12" s="17" t="s">
        <v>75</v>
      </c>
      <c r="O12" s="80"/>
      <c r="P12" s="282" t="s">
        <v>87</v>
      </c>
      <c r="Q12" s="282"/>
      <c r="R12" s="282"/>
      <c r="S12" s="282"/>
      <c r="T12" s="282"/>
      <c r="U12" s="282"/>
      <c r="V12" s="282"/>
      <c r="Z12" s="197"/>
      <c r="AA12" s="198"/>
      <c r="AB12" s="198"/>
      <c r="AC12" s="198"/>
      <c r="AD12" s="197"/>
    </row>
    <row r="13" spans="2:30" ht="15" thickBot="1" x14ac:dyDescent="0.25">
      <c r="B13" s="81" t="s">
        <v>35</v>
      </c>
      <c r="C13" s="75"/>
      <c r="D13" s="208">
        <v>95</v>
      </c>
      <c r="E13" s="75"/>
      <c r="F13" s="265"/>
      <c r="G13" s="79"/>
      <c r="H13" s="43">
        <f>D13</f>
        <v>95</v>
      </c>
      <c r="I13" s="75"/>
      <c r="J13" s="265"/>
      <c r="K13" s="79"/>
      <c r="L13" s="43">
        <f>H13</f>
        <v>95</v>
      </c>
      <c r="M13" s="75"/>
      <c r="N13" s="81" t="s">
        <v>35</v>
      </c>
      <c r="O13" s="82"/>
      <c r="P13" s="180"/>
      <c r="Q13" s="180"/>
      <c r="R13" s="180"/>
      <c r="S13" s="180"/>
      <c r="Z13" s="197"/>
      <c r="AA13" s="198"/>
      <c r="AB13" s="198"/>
      <c r="AC13" s="198"/>
      <c r="AD13" s="197"/>
    </row>
    <row r="14" spans="2:30" ht="15" thickBot="1" x14ac:dyDescent="0.25">
      <c r="B14" s="75"/>
      <c r="C14" s="75"/>
      <c r="D14" s="18"/>
      <c r="E14" s="75"/>
      <c r="F14" s="265"/>
      <c r="G14" s="79"/>
      <c r="H14" s="18"/>
      <c r="I14" s="75"/>
      <c r="J14" s="265"/>
      <c r="K14" s="79"/>
      <c r="L14" s="18"/>
      <c r="M14" s="75"/>
      <c r="N14" s="75"/>
      <c r="O14" s="80"/>
      <c r="Z14" s="197"/>
      <c r="AA14" s="252" t="s">
        <v>43</v>
      </c>
      <c r="AB14" s="252"/>
      <c r="AC14" s="252"/>
      <c r="AD14" s="197"/>
    </row>
    <row r="15" spans="2:30" ht="15.75" thickBot="1" x14ac:dyDescent="0.3">
      <c r="B15" s="19" t="s">
        <v>101</v>
      </c>
      <c r="C15" s="75"/>
      <c r="D15" s="220">
        <v>6.5</v>
      </c>
      <c r="E15" s="75"/>
      <c r="F15" s="265"/>
      <c r="G15" s="79"/>
      <c r="H15" s="221">
        <f>(D42-H36)/H18/H17</f>
        <v>6.5</v>
      </c>
      <c r="I15" s="75"/>
      <c r="J15" s="265"/>
      <c r="K15" s="79"/>
      <c r="L15" s="42">
        <f>L19/L17</f>
        <v>24832.65306122449</v>
      </c>
      <c r="M15" s="75"/>
      <c r="N15" s="19" t="s">
        <v>108</v>
      </c>
      <c r="O15" s="80"/>
      <c r="Z15" s="197"/>
      <c r="AA15" s="198" t="s">
        <v>44</v>
      </c>
      <c r="AB15" s="199" t="s">
        <v>33</v>
      </c>
      <c r="AC15" s="199" t="s">
        <v>3</v>
      </c>
      <c r="AD15" s="197"/>
    </row>
    <row r="16" spans="2:30" ht="15.75" thickBot="1" x14ac:dyDescent="0.3">
      <c r="B16" s="196"/>
      <c r="C16" s="75"/>
      <c r="D16" s="194"/>
      <c r="E16" s="75"/>
      <c r="F16" s="265"/>
      <c r="G16" s="79"/>
      <c r="H16" s="194"/>
      <c r="I16" s="75"/>
      <c r="J16" s="265"/>
      <c r="K16" s="79"/>
      <c r="L16" s="194"/>
      <c r="M16" s="75"/>
      <c r="N16" s="196"/>
      <c r="O16" s="80"/>
      <c r="P16" s="179"/>
      <c r="Q16" s="179"/>
      <c r="R16" s="179"/>
      <c r="S16" s="179"/>
      <c r="T16" s="179"/>
      <c r="U16" s="179"/>
      <c r="V16" s="179"/>
      <c r="Z16" s="197"/>
      <c r="AA16" s="198"/>
      <c r="AB16" s="198"/>
      <c r="AC16" s="198"/>
      <c r="AD16" s="197"/>
    </row>
    <row r="17" spans="2:30" ht="14.25" customHeight="1" x14ac:dyDescent="0.2">
      <c r="B17" s="83" t="s">
        <v>115</v>
      </c>
      <c r="C17" s="75"/>
      <c r="D17" s="146">
        <v>0.78</v>
      </c>
      <c r="E17" s="75"/>
      <c r="F17" s="265"/>
      <c r="G17" s="79"/>
      <c r="H17" s="146">
        <v>0.78</v>
      </c>
      <c r="I17" s="75"/>
      <c r="J17" s="265"/>
      <c r="K17" s="79"/>
      <c r="L17" s="52">
        <v>0.98</v>
      </c>
      <c r="M17" s="75"/>
      <c r="N17" s="83" t="s">
        <v>38</v>
      </c>
      <c r="O17" s="80"/>
      <c r="P17" s="238" t="s">
        <v>116</v>
      </c>
      <c r="Q17" s="239"/>
      <c r="R17" s="239"/>
      <c r="S17" s="240"/>
      <c r="T17" s="179"/>
      <c r="U17" s="179"/>
      <c r="V17" s="179"/>
      <c r="Z17" s="197"/>
      <c r="AA17" s="198"/>
      <c r="AB17" s="198"/>
      <c r="AC17" s="198"/>
      <c r="AD17" s="197"/>
    </row>
    <row r="18" spans="2:30" x14ac:dyDescent="0.2">
      <c r="B18" s="84" t="s">
        <v>102</v>
      </c>
      <c r="C18" s="75"/>
      <c r="D18" s="214">
        <v>4800</v>
      </c>
      <c r="E18" s="75"/>
      <c r="F18" s="265"/>
      <c r="G18" s="79"/>
      <c r="H18" s="36">
        <f>D18</f>
        <v>4800</v>
      </c>
      <c r="I18" s="75"/>
      <c r="J18" s="265"/>
      <c r="K18" s="79"/>
      <c r="L18" s="31"/>
      <c r="M18" s="75"/>
      <c r="N18" s="84"/>
      <c r="O18" s="80"/>
      <c r="P18" s="241"/>
      <c r="Q18" s="242"/>
      <c r="R18" s="242"/>
      <c r="S18" s="243"/>
      <c r="T18" s="179"/>
      <c r="U18" s="179"/>
      <c r="V18" s="179"/>
      <c r="Z18" s="197"/>
      <c r="AA18" s="198"/>
      <c r="AB18" s="198"/>
      <c r="AC18" s="198"/>
      <c r="AD18" s="197"/>
    </row>
    <row r="19" spans="2:30" ht="15.75" thickBot="1" x14ac:dyDescent="0.3">
      <c r="B19" s="33" t="s">
        <v>34</v>
      </c>
      <c r="C19" s="75"/>
      <c r="D19" s="34">
        <f>D18*D15*D17</f>
        <v>24336</v>
      </c>
      <c r="E19" s="75"/>
      <c r="F19" s="265"/>
      <c r="G19" s="79"/>
      <c r="H19" s="34">
        <f>H18*H15*H17</f>
        <v>24336</v>
      </c>
      <c r="I19" s="75"/>
      <c r="J19" s="265"/>
      <c r="K19" s="79"/>
      <c r="L19" s="34">
        <f>D19</f>
        <v>24336</v>
      </c>
      <c r="M19" s="75"/>
      <c r="N19" s="33" t="s">
        <v>34</v>
      </c>
      <c r="O19" s="80"/>
      <c r="P19" s="244"/>
      <c r="Q19" s="245"/>
      <c r="R19" s="245"/>
      <c r="S19" s="246"/>
      <c r="T19" s="179"/>
      <c r="U19" s="179"/>
      <c r="V19" s="179"/>
      <c r="Z19" s="197"/>
      <c r="AA19" s="198"/>
      <c r="AB19" s="198"/>
      <c r="AC19" s="198"/>
      <c r="AD19" s="197"/>
    </row>
    <row r="20" spans="2:30" ht="15.75" thickBot="1" x14ac:dyDescent="0.3">
      <c r="B20" s="74"/>
      <c r="C20" s="75"/>
      <c r="D20" s="195"/>
      <c r="E20" s="20"/>
      <c r="F20" s="265"/>
      <c r="G20" s="54"/>
      <c r="H20" s="195"/>
      <c r="I20" s="20"/>
      <c r="J20" s="265"/>
      <c r="K20" s="54"/>
      <c r="L20" s="203"/>
      <c r="M20" s="20"/>
      <c r="N20" s="204"/>
      <c r="O20" s="48"/>
      <c r="P20" s="205"/>
      <c r="Q20" s="205"/>
      <c r="R20" s="205"/>
      <c r="S20" s="205"/>
      <c r="T20" s="206"/>
      <c r="U20" s="206"/>
      <c r="V20" s="206"/>
      <c r="Z20" s="197"/>
      <c r="AA20" s="198"/>
      <c r="AB20" s="198"/>
      <c r="AC20" s="198"/>
      <c r="AD20" s="197"/>
    </row>
    <row r="21" spans="2:30" ht="15" customHeight="1" x14ac:dyDescent="0.25">
      <c r="B21" s="273" t="s">
        <v>103</v>
      </c>
      <c r="C21" s="75"/>
      <c r="D21" s="35">
        <f>D15*D22</f>
        <v>1371.87375</v>
      </c>
      <c r="E21" s="20"/>
      <c r="F21" s="265"/>
      <c r="G21" s="54"/>
      <c r="H21" s="35">
        <f>H22*H15</f>
        <v>1371.87375</v>
      </c>
      <c r="I21" s="20"/>
      <c r="J21" s="265"/>
      <c r="K21" s="54"/>
      <c r="L21" s="35">
        <f>L15*L22/100</f>
        <v>1614.1224489795918</v>
      </c>
      <c r="M21" s="4"/>
      <c r="N21" s="17" t="s">
        <v>107</v>
      </c>
      <c r="O21" s="48"/>
      <c r="P21" s="238"/>
      <c r="Q21" s="239"/>
      <c r="R21" s="239"/>
      <c r="S21" s="239"/>
      <c r="T21" s="239"/>
      <c r="U21" s="239"/>
      <c r="V21" s="240"/>
      <c r="Z21" s="197"/>
      <c r="AA21" s="198"/>
      <c r="AB21" s="198"/>
      <c r="AC21" s="198"/>
      <c r="AD21" s="197"/>
    </row>
    <row r="22" spans="2:30" ht="15" thickBot="1" x14ac:dyDescent="0.25">
      <c r="B22" s="274"/>
      <c r="C22" s="75"/>
      <c r="D22" s="219">
        <f>Daten!J31</f>
        <v>211.0575</v>
      </c>
      <c r="E22" s="20"/>
      <c r="F22" s="265"/>
      <c r="G22" s="54"/>
      <c r="H22" s="114">
        <f>D22</f>
        <v>211.0575</v>
      </c>
      <c r="I22" s="20"/>
      <c r="J22" s="265"/>
      <c r="K22" s="54"/>
      <c r="L22" s="222">
        <v>6.5</v>
      </c>
      <c r="M22" s="75"/>
      <c r="N22" s="113" t="s">
        <v>37</v>
      </c>
      <c r="O22" s="48"/>
      <c r="P22" s="241"/>
      <c r="Q22" s="242"/>
      <c r="R22" s="242"/>
      <c r="S22" s="242"/>
      <c r="T22" s="242"/>
      <c r="U22" s="242"/>
      <c r="V22" s="243"/>
      <c r="Z22" s="197"/>
      <c r="AA22" s="198"/>
      <c r="AB22" s="198"/>
      <c r="AC22" s="198"/>
      <c r="AD22" s="197"/>
    </row>
    <row r="23" spans="2:30" ht="15" thickBot="1" x14ac:dyDescent="0.25">
      <c r="F23" s="265"/>
      <c r="G23" s="85"/>
      <c r="J23" s="265"/>
      <c r="K23" s="85"/>
      <c r="N23" s="86"/>
      <c r="O23" s="86"/>
      <c r="Z23" s="197"/>
      <c r="AA23" s="198" t="s">
        <v>92</v>
      </c>
      <c r="AB23" s="198"/>
      <c r="AC23" s="198">
        <v>70.554999999999993</v>
      </c>
      <c r="AD23" s="197"/>
    </row>
    <row r="24" spans="2:30" ht="15" x14ac:dyDescent="0.25">
      <c r="B24" s="21" t="s">
        <v>24</v>
      </c>
      <c r="C24" s="75"/>
      <c r="D24" s="35">
        <f>(D25*D26)/100</f>
        <v>165.84984</v>
      </c>
      <c r="E24" s="22"/>
      <c r="F24" s="265"/>
      <c r="G24" s="55"/>
      <c r="H24" s="35">
        <f>(H25*H26)/100</f>
        <v>165.84984</v>
      </c>
      <c r="I24" s="22"/>
      <c r="J24" s="265"/>
      <c r="K24" s="55"/>
      <c r="L24" s="35">
        <f>L25*L22/100</f>
        <v>153.82448979591831</v>
      </c>
      <c r="M24" s="4"/>
      <c r="N24" s="129" t="s">
        <v>110</v>
      </c>
      <c r="O24" s="49"/>
      <c r="P24" s="238" t="s">
        <v>74</v>
      </c>
      <c r="Q24" s="239"/>
      <c r="R24" s="239"/>
      <c r="S24" s="240"/>
      <c r="Z24" s="197"/>
      <c r="AA24" s="198"/>
      <c r="AB24" s="198"/>
      <c r="AC24" s="198"/>
      <c r="AD24" s="197"/>
    </row>
    <row r="25" spans="2:30" ht="15" x14ac:dyDescent="0.25">
      <c r="B25" s="23" t="s">
        <v>104</v>
      </c>
      <c r="C25" s="75"/>
      <c r="D25" s="36">
        <f>D19*0.025</f>
        <v>608.4</v>
      </c>
      <c r="E25" s="75"/>
      <c r="F25" s="265"/>
      <c r="G25" s="79"/>
      <c r="H25" s="36">
        <f>H19*0.025</f>
        <v>608.4</v>
      </c>
      <c r="I25" s="75"/>
      <c r="J25" s="265"/>
      <c r="K25" s="79"/>
      <c r="L25" s="36">
        <f>(L42-L19-L36)/L17</f>
        <v>2366.5306122448969</v>
      </c>
      <c r="M25" s="75"/>
      <c r="N25" s="132" t="s">
        <v>111</v>
      </c>
      <c r="O25" s="80"/>
      <c r="P25" s="241"/>
      <c r="Q25" s="242"/>
      <c r="R25" s="242"/>
      <c r="S25" s="243"/>
      <c r="Z25" s="197"/>
      <c r="AA25" s="275" t="s">
        <v>56</v>
      </c>
      <c r="AB25" s="275"/>
      <c r="AC25" s="202">
        <v>1537</v>
      </c>
      <c r="AD25" s="197"/>
    </row>
    <row r="26" spans="2:30" ht="15.75" thickBot="1" x14ac:dyDescent="0.3">
      <c r="B26" s="24" t="s">
        <v>25</v>
      </c>
      <c r="C26" s="75"/>
      <c r="D26" s="215">
        <v>27.26</v>
      </c>
      <c r="E26" s="75"/>
      <c r="F26" s="265"/>
      <c r="G26" s="79"/>
      <c r="H26" s="45">
        <v>27.26</v>
      </c>
      <c r="I26" s="75"/>
      <c r="J26" s="265"/>
      <c r="K26" s="79"/>
      <c r="L26" s="143">
        <f>D30-L30</f>
        <v>2.666666666666667</v>
      </c>
      <c r="M26" s="75"/>
      <c r="N26" s="130" t="s">
        <v>112</v>
      </c>
      <c r="O26" s="80"/>
      <c r="P26" s="244"/>
      <c r="Q26" s="245"/>
      <c r="R26" s="245"/>
      <c r="S26" s="246"/>
      <c r="Z26" s="197"/>
      <c r="AA26" s="275" t="s">
        <v>57</v>
      </c>
      <c r="AB26" s="275"/>
      <c r="AC26" s="202">
        <v>1139</v>
      </c>
      <c r="AD26" s="197"/>
    </row>
    <row r="27" spans="2:30" ht="15" thickBot="1" x14ac:dyDescent="0.25">
      <c r="B27" s="111"/>
      <c r="C27" s="95"/>
      <c r="D27" s="112"/>
      <c r="E27" s="75"/>
      <c r="F27" s="265"/>
      <c r="G27" s="79"/>
      <c r="H27" s="112"/>
      <c r="I27" s="75"/>
      <c r="J27" s="265"/>
      <c r="K27" s="79"/>
      <c r="L27" s="112"/>
      <c r="M27" s="95"/>
      <c r="N27" s="120"/>
      <c r="O27" s="80"/>
    </row>
    <row r="28" spans="2:30" x14ac:dyDescent="0.2">
      <c r="B28" s="125"/>
      <c r="C28" s="90"/>
      <c r="D28" s="126"/>
      <c r="E28" s="75"/>
      <c r="F28" s="265"/>
      <c r="G28" s="79"/>
      <c r="H28" s="126"/>
      <c r="I28" s="75"/>
      <c r="J28" s="265"/>
      <c r="K28" s="79"/>
      <c r="L28" s="126"/>
      <c r="M28" s="90"/>
      <c r="N28" s="50"/>
      <c r="O28" s="80"/>
    </row>
    <row r="29" spans="2:30" ht="19.5" customHeight="1" thickBot="1" x14ac:dyDescent="0.25">
      <c r="B29" s="135" t="s">
        <v>109</v>
      </c>
      <c r="C29" s="75"/>
      <c r="D29" s="26"/>
      <c r="E29" s="75"/>
      <c r="F29" s="265"/>
      <c r="G29" s="79"/>
      <c r="H29" s="26"/>
      <c r="I29" s="75"/>
      <c r="J29" s="265"/>
      <c r="K29" s="79"/>
      <c r="L29" s="26"/>
      <c r="M29" s="75"/>
      <c r="N29" s="50"/>
      <c r="O29" s="80"/>
    </row>
    <row r="30" spans="2:30" ht="15" x14ac:dyDescent="0.25">
      <c r="B30" s="17" t="s">
        <v>50</v>
      </c>
      <c r="C30" s="75"/>
      <c r="D30" s="147">
        <v>4</v>
      </c>
      <c r="E30" s="75"/>
      <c r="F30" s="265"/>
      <c r="G30" s="79"/>
      <c r="H30" s="115">
        <f>D30</f>
        <v>4</v>
      </c>
      <c r="I30" s="75"/>
      <c r="J30" s="265"/>
      <c r="K30" s="79"/>
      <c r="L30" s="124">
        <f>D30/3</f>
        <v>1.3333333333333333</v>
      </c>
      <c r="M30" s="75"/>
      <c r="N30" s="17" t="s">
        <v>50</v>
      </c>
      <c r="O30" s="80"/>
      <c r="P30" s="238" t="s">
        <v>73</v>
      </c>
      <c r="Q30" s="239"/>
      <c r="R30" s="239"/>
      <c r="S30" s="240"/>
    </row>
    <row r="31" spans="2:30" x14ac:dyDescent="0.2">
      <c r="B31" s="118" t="s">
        <v>53</v>
      </c>
      <c r="C31" s="75"/>
      <c r="D31" s="148">
        <v>0.5</v>
      </c>
      <c r="E31" s="75"/>
      <c r="F31" s="265"/>
      <c r="G31" s="79"/>
      <c r="H31" s="116">
        <f>D31</f>
        <v>0.5</v>
      </c>
      <c r="I31" s="75"/>
      <c r="J31" s="265"/>
      <c r="K31" s="79"/>
      <c r="L31" s="116">
        <f>D31</f>
        <v>0.5</v>
      </c>
      <c r="M31" s="75"/>
      <c r="N31" s="118" t="s">
        <v>53</v>
      </c>
      <c r="O31" s="80"/>
      <c r="P31" s="241"/>
      <c r="Q31" s="242"/>
      <c r="R31" s="242"/>
      <c r="S31" s="243"/>
    </row>
    <row r="32" spans="2:30" ht="15" thickBot="1" x14ac:dyDescent="0.25">
      <c r="B32" s="119" t="s">
        <v>54</v>
      </c>
      <c r="C32" s="75"/>
      <c r="D32" s="117">
        <f>1-D31</f>
        <v>0.5</v>
      </c>
      <c r="E32" s="75"/>
      <c r="F32" s="265"/>
      <c r="G32" s="79"/>
      <c r="H32" s="117">
        <f>D32</f>
        <v>0.5</v>
      </c>
      <c r="I32" s="75"/>
      <c r="J32" s="265"/>
      <c r="K32" s="79"/>
      <c r="L32" s="117">
        <f>D32</f>
        <v>0.5</v>
      </c>
      <c r="M32" s="75"/>
      <c r="N32" s="119" t="s">
        <v>54</v>
      </c>
      <c r="O32" s="80"/>
      <c r="P32" s="244"/>
      <c r="Q32" s="245"/>
      <c r="R32" s="245"/>
      <c r="S32" s="246"/>
    </row>
    <row r="33" spans="2:22" ht="15" thickBot="1" x14ac:dyDescent="0.25">
      <c r="B33" s="25"/>
      <c r="C33" s="75"/>
      <c r="D33" s="26"/>
      <c r="E33" s="75"/>
      <c r="F33" s="265"/>
      <c r="G33" s="79"/>
      <c r="H33" s="26"/>
      <c r="I33" s="75"/>
      <c r="J33" s="265"/>
      <c r="K33" s="79"/>
      <c r="L33" s="26"/>
      <c r="M33" s="75"/>
      <c r="N33" s="25"/>
      <c r="O33" s="80"/>
    </row>
    <row r="34" spans="2:22" x14ac:dyDescent="0.2">
      <c r="B34" s="83" t="s">
        <v>51</v>
      </c>
      <c r="C34" s="75"/>
      <c r="D34" s="146">
        <v>0.65</v>
      </c>
      <c r="E34" s="75"/>
      <c r="F34" s="265"/>
      <c r="G34" s="79"/>
      <c r="H34" s="52">
        <f>D34</f>
        <v>0.65</v>
      </c>
      <c r="I34" s="75"/>
      <c r="J34" s="265"/>
      <c r="K34" s="79"/>
      <c r="L34" s="52">
        <f>H34</f>
        <v>0.65</v>
      </c>
      <c r="M34" s="75"/>
      <c r="N34" s="83" t="s">
        <v>51</v>
      </c>
      <c r="O34" s="80"/>
      <c r="P34" s="238" t="s">
        <v>72</v>
      </c>
      <c r="Q34" s="239"/>
      <c r="R34" s="239"/>
      <c r="S34" s="240"/>
    </row>
    <row r="35" spans="2:22" x14ac:dyDescent="0.2">
      <c r="B35" s="84" t="s">
        <v>55</v>
      </c>
      <c r="C35" s="75"/>
      <c r="D35" s="121">
        <f>IF(D30=0,0,(D30*D31*AC25+D30*D32*AC26)/D30)</f>
        <v>1338</v>
      </c>
      <c r="E35" s="75"/>
      <c r="F35" s="265"/>
      <c r="G35" s="79"/>
      <c r="H35" s="32">
        <f>D35</f>
        <v>1338</v>
      </c>
      <c r="I35" s="75"/>
      <c r="J35" s="265"/>
      <c r="K35" s="79"/>
      <c r="L35" s="121">
        <f>H35</f>
        <v>1338</v>
      </c>
      <c r="M35" s="75"/>
      <c r="N35" s="84" t="s">
        <v>55</v>
      </c>
      <c r="O35" s="80"/>
      <c r="P35" s="241"/>
      <c r="Q35" s="242"/>
      <c r="R35" s="242"/>
      <c r="S35" s="243"/>
    </row>
    <row r="36" spans="2:22" ht="15.75" thickBot="1" x14ac:dyDescent="0.3">
      <c r="B36" s="33" t="s">
        <v>80</v>
      </c>
      <c r="C36" s="75"/>
      <c r="D36" s="34">
        <f>IF(D30=0,0,D30*D35*D34)</f>
        <v>3478.8</v>
      </c>
      <c r="E36" s="75"/>
      <c r="F36" s="265"/>
      <c r="G36" s="79"/>
      <c r="H36" s="34">
        <f>D36</f>
        <v>3478.8</v>
      </c>
      <c r="I36" s="75"/>
      <c r="J36" s="265"/>
      <c r="K36" s="79"/>
      <c r="L36" s="34">
        <f>L30*L35*L34</f>
        <v>1159.6000000000001</v>
      </c>
      <c r="M36" s="75"/>
      <c r="N36" s="33" t="s">
        <v>80</v>
      </c>
      <c r="O36" s="80"/>
      <c r="P36" s="244"/>
      <c r="Q36" s="245"/>
      <c r="R36" s="245"/>
      <c r="S36" s="246"/>
    </row>
    <row r="37" spans="2:22" ht="15" thickBot="1" x14ac:dyDescent="0.25">
      <c r="B37" s="25"/>
      <c r="C37" s="75"/>
      <c r="D37" s="26"/>
      <c r="E37" s="75"/>
      <c r="F37" s="265"/>
      <c r="G37" s="79"/>
      <c r="H37" s="26"/>
      <c r="I37" s="75"/>
      <c r="J37" s="265"/>
      <c r="K37" s="79"/>
      <c r="L37" s="26"/>
      <c r="M37" s="75"/>
      <c r="N37" s="25"/>
      <c r="O37" s="80"/>
    </row>
    <row r="38" spans="2:22" ht="15" customHeight="1" x14ac:dyDescent="0.25">
      <c r="B38" s="17" t="s">
        <v>52</v>
      </c>
      <c r="C38" s="3"/>
      <c r="D38" s="35">
        <f>D39*D30</f>
        <v>356.12</v>
      </c>
      <c r="E38" s="75"/>
      <c r="F38" s="265"/>
      <c r="G38" s="79"/>
      <c r="H38" s="35">
        <f>H39*H30</f>
        <v>356.12</v>
      </c>
      <c r="I38" s="75"/>
      <c r="J38" s="265"/>
      <c r="K38" s="79"/>
      <c r="L38" s="35">
        <f>L39*L30</f>
        <v>118.70666666666666</v>
      </c>
      <c r="M38" s="75"/>
      <c r="N38" s="17" t="s">
        <v>52</v>
      </c>
      <c r="O38" s="80"/>
      <c r="P38" s="267" t="s">
        <v>93</v>
      </c>
      <c r="Q38" s="268"/>
      <c r="R38" s="268"/>
      <c r="S38" s="268"/>
      <c r="T38" s="268"/>
      <c r="U38" s="268"/>
      <c r="V38" s="269"/>
    </row>
    <row r="39" spans="2:22" ht="15" thickBot="1" x14ac:dyDescent="0.25">
      <c r="B39" s="113" t="s">
        <v>59</v>
      </c>
      <c r="C39" s="75"/>
      <c r="D39" s="149">
        <f>D31*98.68+D32*79.38</f>
        <v>89.03</v>
      </c>
      <c r="E39" s="75"/>
      <c r="F39" s="265"/>
      <c r="G39" s="79"/>
      <c r="H39" s="114">
        <f>D39</f>
        <v>89.03</v>
      </c>
      <c r="I39" s="75"/>
      <c r="J39" s="265"/>
      <c r="K39" s="79"/>
      <c r="L39" s="114">
        <f>H39</f>
        <v>89.03</v>
      </c>
      <c r="M39" s="75"/>
      <c r="N39" s="113" t="s">
        <v>59</v>
      </c>
      <c r="O39" s="80"/>
      <c r="P39" s="270"/>
      <c r="Q39" s="271"/>
      <c r="R39" s="271"/>
      <c r="S39" s="271"/>
      <c r="T39" s="271"/>
      <c r="U39" s="271"/>
      <c r="V39" s="272"/>
    </row>
    <row r="40" spans="2:22" ht="15" thickBot="1" x14ac:dyDescent="0.25">
      <c r="B40" s="101"/>
      <c r="C40" s="95"/>
      <c r="D40" s="128"/>
      <c r="E40" s="75"/>
      <c r="F40" s="265"/>
      <c r="G40" s="79"/>
      <c r="H40" s="127"/>
      <c r="I40" s="75"/>
      <c r="J40" s="265"/>
      <c r="K40" s="79"/>
      <c r="L40" s="127"/>
      <c r="M40" s="95"/>
      <c r="N40" s="101"/>
      <c r="O40" s="80"/>
    </row>
    <row r="41" spans="2:22" ht="15" thickBot="1" x14ac:dyDescent="0.25">
      <c r="B41" s="125"/>
      <c r="C41" s="90"/>
      <c r="D41" s="126"/>
      <c r="E41" s="75"/>
      <c r="F41" s="265"/>
      <c r="G41" s="79"/>
      <c r="H41" s="126"/>
      <c r="I41" s="75"/>
      <c r="J41" s="265"/>
      <c r="K41" s="79"/>
      <c r="L41" s="26"/>
      <c r="M41" s="75"/>
      <c r="N41" s="50"/>
      <c r="O41" s="80"/>
    </row>
    <row r="42" spans="2:22" ht="15.75" thickBot="1" x14ac:dyDescent="0.3">
      <c r="B42" s="131" t="s">
        <v>58</v>
      </c>
      <c r="C42" s="90"/>
      <c r="D42" s="42">
        <f>D36+D19</f>
        <v>27814.799999999999</v>
      </c>
      <c r="E42" s="75"/>
      <c r="F42" s="265"/>
      <c r="G42" s="79"/>
      <c r="H42" s="42">
        <f>H36+H19</f>
        <v>27814.799999999999</v>
      </c>
      <c r="I42" s="75"/>
      <c r="J42" s="265"/>
      <c r="K42" s="79"/>
      <c r="L42" s="42">
        <f>D42</f>
        <v>27814.799999999999</v>
      </c>
      <c r="M42" s="75"/>
      <c r="N42" s="131" t="s">
        <v>58</v>
      </c>
      <c r="O42" s="80"/>
    </row>
    <row r="43" spans="2:22" ht="15" thickBot="1" x14ac:dyDescent="0.25">
      <c r="B43" s="25"/>
      <c r="C43" s="75"/>
      <c r="D43" s="26"/>
      <c r="E43" s="75"/>
      <c r="F43" s="265"/>
      <c r="G43" s="79"/>
      <c r="H43" s="26"/>
      <c r="I43" s="75"/>
      <c r="J43" s="265"/>
      <c r="K43" s="79"/>
      <c r="L43" s="26"/>
      <c r="M43" s="75"/>
      <c r="N43" s="50"/>
      <c r="O43" s="80"/>
    </row>
    <row r="44" spans="2:22" ht="15" x14ac:dyDescent="0.25">
      <c r="B44" s="224" t="s">
        <v>5</v>
      </c>
      <c r="C44" s="75"/>
      <c r="D44" s="212">
        <f>D38+D24+D21</f>
        <v>1893.8435899999999</v>
      </c>
      <c r="E44" s="4"/>
      <c r="F44" s="265"/>
      <c r="G44" s="53"/>
      <c r="H44" s="70">
        <f>H24+H21+H38</f>
        <v>1893.8435899999999</v>
      </c>
      <c r="I44" s="4"/>
      <c r="J44" s="265"/>
      <c r="K44" s="53"/>
      <c r="L44" s="62">
        <f>L21+L24+L38</f>
        <v>1886.6536054421767</v>
      </c>
      <c r="M44" s="4"/>
      <c r="N44" s="250" t="s">
        <v>5</v>
      </c>
      <c r="O44" s="47"/>
    </row>
    <row r="45" spans="2:22" ht="15.75" thickBot="1" x14ac:dyDescent="0.3">
      <c r="B45" s="225"/>
      <c r="C45" s="75"/>
      <c r="D45" s="213">
        <f>D44*100/D42</f>
        <v>6.8087622057321999</v>
      </c>
      <c r="E45" s="4"/>
      <c r="F45" s="266"/>
      <c r="G45" s="53"/>
      <c r="H45" s="71">
        <f>H44*100/H42</f>
        <v>6.8087622057321999</v>
      </c>
      <c r="I45" s="4"/>
      <c r="J45" s="266"/>
      <c r="K45" s="53"/>
      <c r="L45" s="63">
        <f>L44*100/L42</f>
        <v>6.7829127135272467</v>
      </c>
      <c r="M45" s="4"/>
      <c r="N45" s="251"/>
      <c r="O45" s="47"/>
    </row>
    <row r="46" spans="2:22" ht="15.75" thickBot="1" x14ac:dyDescent="0.3">
      <c r="B46" s="66"/>
      <c r="C46" s="87"/>
      <c r="D46" s="67"/>
      <c r="E46" s="69"/>
      <c r="F46" s="88"/>
      <c r="G46" s="69"/>
      <c r="H46" s="67"/>
      <c r="I46" s="69"/>
      <c r="J46" s="88"/>
      <c r="K46" s="69"/>
      <c r="L46" s="67"/>
      <c r="M46" s="68"/>
      <c r="N46" s="66"/>
      <c r="O46" s="47"/>
    </row>
    <row r="47" spans="2:22" ht="15" thickBot="1" x14ac:dyDescent="0.25">
      <c r="B47" s="75"/>
      <c r="C47" s="75"/>
      <c r="D47" s="27"/>
      <c r="E47" s="75"/>
      <c r="F47" s="89"/>
      <c r="G47" s="90"/>
      <c r="H47" s="27"/>
      <c r="I47" s="75"/>
      <c r="J47" s="89"/>
      <c r="K47" s="90"/>
      <c r="L47" s="27"/>
      <c r="M47" s="75"/>
      <c r="N47" s="39"/>
      <c r="O47" s="80"/>
    </row>
    <row r="48" spans="2:22" x14ac:dyDescent="0.2">
      <c r="B48" s="91" t="s">
        <v>26</v>
      </c>
      <c r="C48" s="75"/>
      <c r="D48" s="150">
        <f>Daten!$J$6</f>
        <v>183.5932</v>
      </c>
      <c r="E48" s="75"/>
      <c r="F48" s="92"/>
      <c r="G48" s="90"/>
      <c r="H48" s="150">
        <f>Daten!J6</f>
        <v>183.5932</v>
      </c>
      <c r="I48" s="75"/>
      <c r="J48" s="92"/>
      <c r="K48" s="90"/>
      <c r="L48" s="226">
        <f>IF(L12&lt;15,600,600+(L12-15)*15)</f>
        <v>620.1</v>
      </c>
      <c r="M48" s="75"/>
      <c r="N48" s="247" t="s">
        <v>36</v>
      </c>
      <c r="O48" s="80"/>
      <c r="P48" s="282" t="s">
        <v>81</v>
      </c>
      <c r="Q48" s="282"/>
      <c r="R48" s="282"/>
      <c r="S48" s="282"/>
      <c r="T48" s="282"/>
      <c r="U48" s="282"/>
      <c r="V48" s="282"/>
    </row>
    <row r="49" spans="2:26" x14ac:dyDescent="0.2">
      <c r="B49" s="84" t="s">
        <v>27</v>
      </c>
      <c r="C49" s="75"/>
      <c r="D49" s="210">
        <f>Daten!$J$4</f>
        <v>428.01081049999993</v>
      </c>
      <c r="E49" s="75"/>
      <c r="F49" s="93"/>
      <c r="G49" s="90"/>
      <c r="H49" s="210">
        <f>Daten!J4</f>
        <v>428.01081049999993</v>
      </c>
      <c r="I49" s="75"/>
      <c r="J49" s="93"/>
      <c r="K49" s="90"/>
      <c r="L49" s="227"/>
      <c r="M49" s="75"/>
      <c r="N49" s="248"/>
      <c r="O49" s="80"/>
      <c r="P49" s="282" t="s">
        <v>82</v>
      </c>
      <c r="Q49" s="282"/>
      <c r="R49" s="282"/>
      <c r="S49" s="282"/>
      <c r="T49" s="282"/>
      <c r="U49" s="282"/>
      <c r="V49" s="282"/>
    </row>
    <row r="50" spans="2:26" ht="15" thickBot="1" x14ac:dyDescent="0.25">
      <c r="B50" s="81" t="s">
        <v>28</v>
      </c>
      <c r="C50" s="75"/>
      <c r="D50" s="209">
        <v>185</v>
      </c>
      <c r="E50" s="75"/>
      <c r="F50" s="93"/>
      <c r="G50" s="90"/>
      <c r="H50" s="209">
        <v>185</v>
      </c>
      <c r="I50" s="75"/>
      <c r="J50" s="93"/>
      <c r="K50" s="90"/>
      <c r="L50" s="228"/>
      <c r="M50" s="75"/>
      <c r="N50" s="249"/>
      <c r="O50" s="80"/>
      <c r="P50" s="282" t="s">
        <v>83</v>
      </c>
      <c r="Q50" s="282"/>
      <c r="R50" s="282"/>
      <c r="S50" s="282"/>
      <c r="T50" s="282"/>
      <c r="U50" s="282"/>
      <c r="V50" s="282"/>
    </row>
    <row r="51" spans="2:26" ht="15" thickBot="1" x14ac:dyDescent="0.25">
      <c r="F51" s="93"/>
      <c r="G51" s="94"/>
      <c r="J51" s="93"/>
      <c r="K51" s="94"/>
      <c r="N51" s="86"/>
      <c r="O51" s="86"/>
    </row>
    <row r="52" spans="2:26" ht="15.75" thickBot="1" x14ac:dyDescent="0.3">
      <c r="B52" s="103" t="s">
        <v>4</v>
      </c>
      <c r="C52" s="75"/>
      <c r="D52" s="223">
        <f>D50+D48+D49</f>
        <v>796.60401049999996</v>
      </c>
      <c r="E52" s="4"/>
      <c r="F52" s="182"/>
      <c r="G52" s="65"/>
      <c r="H52" s="104">
        <f>H49+H48+H50</f>
        <v>796.60401049999996</v>
      </c>
      <c r="I52" s="4"/>
      <c r="J52" s="182"/>
      <c r="K52" s="65"/>
      <c r="L52" s="105">
        <f>L49+L48+L50</f>
        <v>620.1</v>
      </c>
      <c r="M52" s="4"/>
      <c r="N52" s="106" t="s">
        <v>4</v>
      </c>
      <c r="O52" s="47"/>
    </row>
    <row r="53" spans="2:26" ht="15" thickBot="1" x14ac:dyDescent="0.25">
      <c r="B53" s="95"/>
      <c r="C53" s="95"/>
      <c r="D53" s="28"/>
      <c r="E53" s="95"/>
      <c r="F53" s="95"/>
      <c r="G53" s="95"/>
      <c r="H53" s="28"/>
      <c r="I53" s="95"/>
      <c r="J53" s="95"/>
      <c r="K53" s="95"/>
      <c r="L53" s="28"/>
      <c r="M53" s="95"/>
      <c r="N53" s="46"/>
      <c r="O53" s="80"/>
      <c r="P53" s="96"/>
    </row>
    <row r="54" spans="2:26" ht="15" thickBot="1" x14ac:dyDescent="0.25">
      <c r="B54" s="75"/>
      <c r="C54" s="75"/>
      <c r="D54" s="27"/>
      <c r="E54" s="75"/>
      <c r="F54" s="75"/>
      <c r="G54" s="75"/>
      <c r="H54" s="27"/>
      <c r="I54" s="75"/>
      <c r="J54" s="75"/>
      <c r="K54" s="75"/>
      <c r="L54" s="27" t="s">
        <v>6</v>
      </c>
      <c r="M54" s="75"/>
      <c r="N54" s="39"/>
      <c r="O54" s="80"/>
      <c r="P54" s="97"/>
    </row>
    <row r="55" spans="2:26" ht="15" customHeight="1" x14ac:dyDescent="0.25">
      <c r="B55" s="224" t="s">
        <v>29</v>
      </c>
      <c r="C55" s="75"/>
      <c r="D55" s="212">
        <f>D44+D52</f>
        <v>2690.4476004999997</v>
      </c>
      <c r="E55" s="75"/>
      <c r="F55" s="229"/>
      <c r="G55" s="79"/>
      <c r="H55" s="70">
        <f>H44+H52</f>
        <v>2690.4476004999997</v>
      </c>
      <c r="I55" s="75"/>
      <c r="J55" s="229"/>
      <c r="K55" s="79"/>
      <c r="L55" s="62">
        <f>L44+L52</f>
        <v>2506.7536054421766</v>
      </c>
      <c r="M55" s="75"/>
      <c r="N55" s="250" t="s">
        <v>29</v>
      </c>
      <c r="O55" s="80"/>
      <c r="P55" s="276" t="s">
        <v>88</v>
      </c>
      <c r="Q55" s="277"/>
      <c r="R55" s="277"/>
      <c r="S55" s="277"/>
      <c r="T55" s="277"/>
      <c r="U55" s="277"/>
      <c r="V55" s="278"/>
      <c r="W55" s="141"/>
      <c r="X55" s="141"/>
      <c r="Y55" s="141"/>
      <c r="Z55" s="141"/>
    </row>
    <row r="56" spans="2:26" ht="15.75" thickBot="1" x14ac:dyDescent="0.3">
      <c r="B56" s="225"/>
      <c r="C56" s="75"/>
      <c r="D56" s="213">
        <f>D55*100/D42</f>
        <v>9.6727195611688739</v>
      </c>
      <c r="E56" s="6"/>
      <c r="F56" s="230"/>
      <c r="G56" s="56"/>
      <c r="H56" s="71">
        <f>H55*100/H42</f>
        <v>9.6727195611688739</v>
      </c>
      <c r="I56" s="6"/>
      <c r="J56" s="230"/>
      <c r="K56" s="56"/>
      <c r="L56" s="63">
        <f>L55*100/L42</f>
        <v>9.0123013843068325</v>
      </c>
      <c r="M56" s="6"/>
      <c r="N56" s="251"/>
      <c r="O56" s="51"/>
      <c r="P56" s="279"/>
      <c r="Q56" s="280"/>
      <c r="R56" s="280"/>
      <c r="S56" s="280"/>
      <c r="T56" s="280"/>
      <c r="U56" s="280"/>
      <c r="V56" s="281"/>
      <c r="W56" s="141"/>
      <c r="X56" s="141"/>
      <c r="Y56" s="141"/>
      <c r="Z56" s="141"/>
    </row>
    <row r="57" spans="2:26" x14ac:dyDescent="0.2">
      <c r="B57" s="75"/>
      <c r="C57" s="75"/>
      <c r="D57" s="27"/>
      <c r="E57" s="75"/>
      <c r="F57" s="230"/>
      <c r="G57" s="79"/>
      <c r="H57" s="27"/>
      <c r="I57" s="75"/>
      <c r="J57" s="230"/>
      <c r="K57" s="79"/>
      <c r="L57" s="27"/>
      <c r="M57" s="75"/>
      <c r="N57" s="39"/>
      <c r="O57" s="80"/>
      <c r="P57" s="97"/>
    </row>
    <row r="58" spans="2:26" ht="15.75" thickBot="1" x14ac:dyDescent="0.3">
      <c r="B58" s="75"/>
      <c r="C58" s="75"/>
      <c r="D58" s="27"/>
      <c r="E58" s="75"/>
      <c r="F58" s="230"/>
      <c r="G58" s="79"/>
      <c r="H58" s="27"/>
      <c r="I58" s="75"/>
      <c r="J58" s="230"/>
      <c r="K58" s="79"/>
      <c r="L58" s="172" t="s">
        <v>89</v>
      </c>
      <c r="M58" s="75"/>
      <c r="N58" s="39"/>
      <c r="O58" s="80"/>
      <c r="P58" s="97"/>
    </row>
    <row r="59" spans="2:26" x14ac:dyDescent="0.2">
      <c r="B59" s="75"/>
      <c r="C59" s="75"/>
      <c r="D59" s="27"/>
      <c r="E59" s="75"/>
      <c r="F59" s="230"/>
      <c r="G59" s="79"/>
      <c r="H59" s="27"/>
      <c r="I59" s="75"/>
      <c r="J59" s="230"/>
      <c r="K59" s="79"/>
      <c r="L59" s="173">
        <f>L94</f>
        <v>1767.94693877551</v>
      </c>
      <c r="N59" s="175" t="s">
        <v>70</v>
      </c>
      <c r="O59" s="80"/>
      <c r="P59" s="97"/>
    </row>
    <row r="60" spans="2:26" ht="15" thickBot="1" x14ac:dyDescent="0.25">
      <c r="B60" s="75"/>
      <c r="C60" s="75"/>
      <c r="D60" s="27"/>
      <c r="E60" s="75"/>
      <c r="F60" s="230"/>
      <c r="G60" s="79"/>
      <c r="H60" s="27"/>
      <c r="I60" s="75"/>
      <c r="J60" s="230"/>
      <c r="K60" s="79"/>
      <c r="L60" s="174">
        <f>L95</f>
        <v>620.1</v>
      </c>
      <c r="N60" s="176" t="s">
        <v>36</v>
      </c>
      <c r="O60" s="80"/>
      <c r="P60" s="97"/>
    </row>
    <row r="61" spans="2:26" ht="15.75" thickBot="1" x14ac:dyDescent="0.3">
      <c r="B61" s="75"/>
      <c r="C61" s="75"/>
      <c r="D61" s="27"/>
      <c r="E61" s="75"/>
      <c r="F61" s="230"/>
      <c r="G61" s="79"/>
      <c r="H61" s="27"/>
      <c r="I61" s="75"/>
      <c r="J61" s="230"/>
      <c r="K61" s="79"/>
      <c r="L61" s="178">
        <f>L59+L60</f>
        <v>2388.0469387755102</v>
      </c>
      <c r="N61" s="178" t="s">
        <v>71</v>
      </c>
      <c r="O61" s="80"/>
      <c r="P61" s="97"/>
    </row>
    <row r="62" spans="2:26" ht="15" thickBot="1" x14ac:dyDescent="0.25">
      <c r="B62" s="75"/>
      <c r="C62" s="75"/>
      <c r="D62" s="27"/>
      <c r="E62" s="75"/>
      <c r="F62" s="230"/>
      <c r="G62" s="79"/>
      <c r="H62" s="27"/>
      <c r="I62" s="75"/>
      <c r="J62" s="230"/>
      <c r="K62" s="79"/>
      <c r="O62" s="80"/>
      <c r="P62" s="97"/>
    </row>
    <row r="63" spans="2:26" ht="15.75" thickBot="1" x14ac:dyDescent="0.3">
      <c r="B63" s="75"/>
      <c r="C63" s="75"/>
      <c r="D63" s="27"/>
      <c r="E63" s="75"/>
      <c r="F63" s="231"/>
      <c r="G63" s="79"/>
      <c r="H63" s="27"/>
      <c r="I63" s="75"/>
      <c r="J63" s="231"/>
      <c r="K63" s="79"/>
      <c r="L63" s="178">
        <f>L99</f>
        <v>118.70666666666666</v>
      </c>
      <c r="N63" s="183" t="s">
        <v>79</v>
      </c>
      <c r="O63" s="80"/>
      <c r="P63" s="97"/>
    </row>
    <row r="64" spans="2:26" x14ac:dyDescent="0.2">
      <c r="B64" s="75"/>
      <c r="C64" s="75"/>
      <c r="D64" s="27"/>
      <c r="E64" s="75"/>
      <c r="F64" s="90"/>
      <c r="G64" s="90"/>
      <c r="H64" s="27"/>
      <c r="I64" s="75"/>
      <c r="J64" s="90"/>
      <c r="K64" s="90"/>
      <c r="L64" s="27"/>
      <c r="M64" s="75"/>
      <c r="N64" s="39"/>
      <c r="O64" s="80"/>
      <c r="P64" s="97"/>
    </row>
    <row r="65" spans="2:17" ht="15" thickBot="1" x14ac:dyDescent="0.25">
      <c r="B65" s="95"/>
      <c r="C65" s="95"/>
      <c r="D65" s="28"/>
      <c r="E65" s="95"/>
      <c r="F65" s="88"/>
      <c r="G65" s="95"/>
      <c r="H65" s="28"/>
      <c r="I65" s="95"/>
      <c r="J65" s="88"/>
      <c r="K65" s="95"/>
      <c r="L65" s="28"/>
      <c r="M65" s="95"/>
      <c r="N65" s="46"/>
      <c r="O65" s="80"/>
      <c r="P65" s="97"/>
    </row>
    <row r="66" spans="2:17" x14ac:dyDescent="0.2">
      <c r="B66" s="75"/>
      <c r="C66" s="75"/>
      <c r="D66" s="27"/>
      <c r="E66" s="27"/>
      <c r="F66" s="27"/>
      <c r="G66" s="75"/>
      <c r="H66" s="27"/>
      <c r="I66" s="75"/>
      <c r="J66" s="89"/>
      <c r="K66" s="90"/>
      <c r="L66" s="27"/>
      <c r="M66" s="75"/>
      <c r="N66" s="39"/>
      <c r="O66" s="80"/>
      <c r="P66" s="97"/>
    </row>
    <row r="67" spans="2:17" x14ac:dyDescent="0.2">
      <c r="B67" s="75"/>
      <c r="C67" s="75"/>
      <c r="D67" s="27"/>
      <c r="E67" s="27"/>
      <c r="F67" s="27"/>
      <c r="G67" s="75"/>
      <c r="H67" s="27"/>
      <c r="I67" s="75"/>
      <c r="J67" s="133"/>
      <c r="K67" s="79"/>
      <c r="L67" s="27"/>
      <c r="M67" s="75"/>
      <c r="N67" s="39"/>
      <c r="O67" s="80"/>
      <c r="P67" s="97"/>
    </row>
    <row r="68" spans="2:17" x14ac:dyDescent="0.2">
      <c r="B68" s="234" t="s">
        <v>49</v>
      </c>
      <c r="C68" s="235"/>
      <c r="D68" s="235"/>
      <c r="E68" s="235"/>
      <c r="F68" s="235"/>
      <c r="G68" s="235"/>
      <c r="H68" s="236"/>
      <c r="I68" s="75"/>
      <c r="J68" s="133"/>
      <c r="K68" s="79"/>
      <c r="L68" s="237" t="s">
        <v>76</v>
      </c>
      <c r="M68" s="237"/>
      <c r="N68" s="237"/>
      <c r="O68" s="80"/>
      <c r="P68" s="97"/>
    </row>
    <row r="69" spans="2:17" x14ac:dyDescent="0.2">
      <c r="B69" s="75"/>
      <c r="C69" s="75"/>
      <c r="D69" s="27"/>
      <c r="E69" s="27"/>
      <c r="F69" s="27"/>
      <c r="G69" s="75"/>
      <c r="H69" s="27"/>
      <c r="I69" s="75"/>
      <c r="J69" s="133"/>
      <c r="K69" s="79"/>
      <c r="L69" s="27"/>
      <c r="M69" s="75"/>
      <c r="N69" s="39"/>
      <c r="O69" s="80"/>
      <c r="P69" s="97"/>
    </row>
    <row r="70" spans="2:17" ht="15" thickBot="1" x14ac:dyDescent="0.25">
      <c r="B70" s="75"/>
      <c r="C70" s="75"/>
      <c r="D70" s="27"/>
      <c r="E70" s="27"/>
      <c r="F70" s="27"/>
      <c r="G70" s="75"/>
      <c r="H70" s="27"/>
      <c r="I70" s="75"/>
      <c r="J70" s="133"/>
      <c r="K70" s="79"/>
      <c r="L70" s="27"/>
      <c r="M70" s="75"/>
      <c r="N70" s="39"/>
      <c r="O70" s="80"/>
      <c r="P70" s="97"/>
    </row>
    <row r="71" spans="2:17" ht="15.75" x14ac:dyDescent="0.25">
      <c r="B71" s="91" t="s">
        <v>98</v>
      </c>
      <c r="C71" s="75"/>
      <c r="D71" s="37"/>
      <c r="E71" s="37"/>
      <c r="F71" s="37"/>
      <c r="G71" s="75"/>
      <c r="H71" s="151">
        <f>Daten!J7</f>
        <v>24457.760599999994</v>
      </c>
      <c r="I71" s="75"/>
      <c r="J71" s="133"/>
      <c r="K71" s="79"/>
      <c r="L71" s="59">
        <v>9950</v>
      </c>
      <c r="M71" s="75"/>
      <c r="N71" s="91" t="s">
        <v>45</v>
      </c>
      <c r="O71" s="80"/>
      <c r="P71" s="97"/>
      <c r="Q71" s="181"/>
    </row>
    <row r="72" spans="2:17" ht="15" x14ac:dyDescent="0.25">
      <c r="B72" s="84" t="s">
        <v>30</v>
      </c>
      <c r="C72" s="75"/>
      <c r="D72" s="38"/>
      <c r="E72" s="38"/>
      <c r="F72" s="38"/>
      <c r="G72" s="75"/>
      <c r="H72" s="152">
        <v>0</v>
      </c>
      <c r="I72" s="75"/>
      <c r="J72" s="133"/>
      <c r="K72" s="79"/>
      <c r="L72" s="109">
        <f>H72</f>
        <v>0</v>
      </c>
      <c r="M72" s="75"/>
      <c r="N72" s="84" t="s">
        <v>47</v>
      </c>
      <c r="O72" s="80"/>
    </row>
    <row r="73" spans="2:17" ht="15" customHeight="1" x14ac:dyDescent="0.2">
      <c r="B73" s="232" t="s">
        <v>46</v>
      </c>
      <c r="C73" s="75"/>
      <c r="D73" s="38"/>
      <c r="E73" s="38"/>
      <c r="F73" s="38"/>
      <c r="G73" s="75"/>
      <c r="H73" s="108">
        <f>L73</f>
        <v>0.35</v>
      </c>
      <c r="I73" s="75"/>
      <c r="J73" s="133"/>
      <c r="K73" s="79"/>
      <c r="L73" s="137">
        <v>0.35</v>
      </c>
      <c r="M73" s="75"/>
      <c r="N73" s="107" t="s">
        <v>60</v>
      </c>
      <c r="O73" s="80"/>
    </row>
    <row r="74" spans="2:17" ht="15.75" thickBot="1" x14ac:dyDescent="0.3">
      <c r="B74" s="233"/>
      <c r="C74" s="75"/>
      <c r="D74" s="37"/>
      <c r="E74" s="37"/>
      <c r="F74" s="37"/>
      <c r="G74" s="75"/>
      <c r="H74" s="60">
        <f>(H72+H71)*H73</f>
        <v>8560.2162099999969</v>
      </c>
      <c r="I74" s="75"/>
      <c r="J74" s="133"/>
      <c r="K74" s="79"/>
      <c r="L74" s="60">
        <f>L72*L73</f>
        <v>0</v>
      </c>
      <c r="M74" s="75"/>
      <c r="N74" s="81" t="s">
        <v>61</v>
      </c>
      <c r="O74" s="80"/>
    </row>
    <row r="75" spans="2:17" ht="15.75" thickBot="1" x14ac:dyDescent="0.3">
      <c r="B75" s="90"/>
      <c r="C75" s="75"/>
      <c r="D75" s="37"/>
      <c r="E75" s="37"/>
      <c r="F75" s="37"/>
      <c r="G75" s="75"/>
      <c r="H75" s="37"/>
      <c r="I75" s="75"/>
      <c r="J75" s="133"/>
      <c r="K75" s="79"/>
      <c r="L75" s="37"/>
      <c r="M75" s="75"/>
      <c r="N75" s="90"/>
      <c r="O75" s="80"/>
    </row>
    <row r="76" spans="2:17" ht="15.75" thickBot="1" x14ac:dyDescent="0.3">
      <c r="B76" s="19" t="s">
        <v>48</v>
      </c>
      <c r="C76" s="75"/>
      <c r="D76" s="37"/>
      <c r="E76" s="37"/>
      <c r="F76" s="37"/>
      <c r="G76" s="75"/>
      <c r="H76" s="110">
        <f>H71+H72-H74</f>
        <v>15897.544389999997</v>
      </c>
      <c r="I76" s="75"/>
      <c r="J76" s="133"/>
      <c r="K76" s="79"/>
      <c r="L76" s="110">
        <f>L71+L72-L74</f>
        <v>9950</v>
      </c>
      <c r="M76" s="75"/>
      <c r="N76" s="19" t="s">
        <v>48</v>
      </c>
      <c r="O76" s="80"/>
    </row>
    <row r="77" spans="2:17" ht="15.75" thickBot="1" x14ac:dyDescent="0.3">
      <c r="B77" s="95"/>
      <c r="C77" s="95"/>
      <c r="D77" s="136"/>
      <c r="E77" s="136"/>
      <c r="F77" s="136"/>
      <c r="G77" s="95"/>
      <c r="H77" s="136"/>
      <c r="I77" s="75"/>
      <c r="J77" s="133"/>
      <c r="K77" s="79"/>
      <c r="L77" s="136"/>
      <c r="M77" s="95"/>
      <c r="N77" s="95"/>
      <c r="O77" s="80"/>
    </row>
    <row r="78" spans="2:17" ht="15.75" thickBot="1" x14ac:dyDescent="0.3">
      <c r="B78" s="90"/>
      <c r="C78" s="75"/>
      <c r="D78" s="37"/>
      <c r="E78" s="37"/>
      <c r="F78" s="37"/>
      <c r="G78" s="75"/>
      <c r="H78" s="37"/>
      <c r="I78" s="75"/>
      <c r="J78" s="133"/>
      <c r="K78" s="79"/>
      <c r="L78" s="37"/>
      <c r="M78" s="75"/>
      <c r="N78" s="90"/>
      <c r="O78" s="80"/>
    </row>
    <row r="79" spans="2:17" ht="15" x14ac:dyDescent="0.25">
      <c r="B79" s="91" t="s">
        <v>31</v>
      </c>
      <c r="C79" s="75"/>
      <c r="D79" s="38"/>
      <c r="E79" s="38"/>
      <c r="F79" s="38"/>
      <c r="G79" s="75"/>
      <c r="H79" s="151">
        <v>0</v>
      </c>
      <c r="I79" s="75"/>
      <c r="J79" s="133"/>
      <c r="K79" s="79"/>
      <c r="L79" s="59">
        <f>H79</f>
        <v>0</v>
      </c>
      <c r="N79" s="91" t="s">
        <v>31</v>
      </c>
      <c r="O79" s="86"/>
    </row>
    <row r="80" spans="2:17" ht="15" x14ac:dyDescent="0.25">
      <c r="B80" s="84" t="s">
        <v>62</v>
      </c>
      <c r="C80" s="75"/>
      <c r="D80" s="37"/>
      <c r="E80" s="37"/>
      <c r="F80" s="37"/>
      <c r="G80" s="75"/>
      <c r="H80" s="152">
        <v>1000</v>
      </c>
      <c r="I80" s="75"/>
      <c r="J80" s="133"/>
      <c r="K80" s="79"/>
      <c r="L80" s="144">
        <v>1000</v>
      </c>
      <c r="M80" s="75"/>
      <c r="N80" s="84" t="s">
        <v>62</v>
      </c>
      <c r="O80" s="80"/>
    </row>
    <row r="81" spans="2:26" ht="14.25" customHeight="1" thickBot="1" x14ac:dyDescent="0.3">
      <c r="B81" s="81" t="s">
        <v>32</v>
      </c>
      <c r="C81" s="75"/>
      <c r="D81" s="37"/>
      <c r="E81" s="37"/>
      <c r="F81" s="37"/>
      <c r="G81" s="75"/>
      <c r="H81" s="153">
        <f>(H79+H80)*0.2</f>
        <v>200</v>
      </c>
      <c r="I81" s="75"/>
      <c r="J81" s="133"/>
      <c r="K81" s="79"/>
      <c r="L81" s="60">
        <f>(L80+L79)*0.2</f>
        <v>200</v>
      </c>
      <c r="M81" s="75"/>
      <c r="N81" s="81" t="s">
        <v>32</v>
      </c>
      <c r="O81" s="80"/>
    </row>
    <row r="82" spans="2:26" ht="15" thickBot="1" x14ac:dyDescent="0.25">
      <c r="D82" s="86"/>
      <c r="E82" s="86"/>
      <c r="F82" s="86"/>
      <c r="J82" s="133"/>
      <c r="K82" s="85"/>
      <c r="N82" s="86"/>
      <c r="O82" s="86"/>
    </row>
    <row r="83" spans="2:26" ht="15.75" thickBot="1" x14ac:dyDescent="0.3">
      <c r="B83" s="19" t="s">
        <v>48</v>
      </c>
      <c r="C83" s="75"/>
      <c r="D83" s="37"/>
      <c r="E83" s="37"/>
      <c r="F83" s="37"/>
      <c r="G83" s="75"/>
      <c r="H83" s="110">
        <f>H76+H79+H80-H81</f>
        <v>16697.544389999995</v>
      </c>
      <c r="I83" s="75"/>
      <c r="J83" s="133"/>
      <c r="K83" s="79"/>
      <c r="L83" s="110">
        <f>L76+L79+L80-L81</f>
        <v>10750</v>
      </c>
      <c r="M83" s="75"/>
      <c r="N83" s="19" t="s">
        <v>48</v>
      </c>
      <c r="O83" s="80"/>
    </row>
    <row r="84" spans="2:26" ht="15" thickBot="1" x14ac:dyDescent="0.25">
      <c r="B84" s="75"/>
      <c r="C84" s="75"/>
      <c r="D84" s="39"/>
      <c r="E84" s="39"/>
      <c r="F84" s="39"/>
      <c r="G84" s="75"/>
      <c r="H84" s="27"/>
      <c r="I84" s="75"/>
      <c r="J84" s="133"/>
      <c r="K84" s="79"/>
      <c r="L84" s="27"/>
      <c r="M84" s="75"/>
      <c r="N84" s="39"/>
      <c r="O84" s="80"/>
    </row>
    <row r="85" spans="2:26" x14ac:dyDescent="0.2">
      <c r="B85" s="91" t="s">
        <v>0</v>
      </c>
      <c r="C85" s="75"/>
      <c r="D85" s="40"/>
      <c r="E85" s="40"/>
      <c r="F85" s="40"/>
      <c r="G85" s="75"/>
      <c r="H85" s="154">
        <v>25</v>
      </c>
      <c r="I85" s="75"/>
      <c r="J85" s="133"/>
      <c r="K85" s="79"/>
      <c r="L85" s="57">
        <f>H85</f>
        <v>25</v>
      </c>
      <c r="M85" s="75"/>
      <c r="N85" s="91" t="s">
        <v>0</v>
      </c>
      <c r="O85" s="80"/>
    </row>
    <row r="86" spans="2:26" ht="15" thickBot="1" x14ac:dyDescent="0.25">
      <c r="B86" s="81" t="s">
        <v>1</v>
      </c>
      <c r="C86" s="75"/>
      <c r="D86" s="2"/>
      <c r="E86" s="2"/>
      <c r="F86" s="2"/>
      <c r="G86" s="75"/>
      <c r="H86" s="155">
        <v>0.02</v>
      </c>
      <c r="I86" s="75"/>
      <c r="J86" s="133"/>
      <c r="K86" s="79"/>
      <c r="L86" s="58">
        <f>H86</f>
        <v>0.02</v>
      </c>
      <c r="M86" s="75"/>
      <c r="N86" s="81" t="s">
        <v>1</v>
      </c>
      <c r="O86" s="80"/>
    </row>
    <row r="87" spans="2:26" x14ac:dyDescent="0.2">
      <c r="B87" s="75"/>
      <c r="C87" s="75"/>
      <c r="D87" s="2"/>
      <c r="E87" s="2"/>
      <c r="F87" s="2"/>
      <c r="G87" s="75"/>
      <c r="H87" s="2"/>
      <c r="I87" s="75"/>
      <c r="J87" s="133"/>
      <c r="K87" s="79"/>
      <c r="L87" s="2"/>
      <c r="M87" s="75"/>
      <c r="N87" s="2"/>
      <c r="O87" s="80"/>
    </row>
    <row r="88" spans="2:26" ht="15" x14ac:dyDescent="0.25">
      <c r="B88" s="138" t="s">
        <v>7</v>
      </c>
      <c r="C88" s="75"/>
      <c r="D88" s="41"/>
      <c r="E88" s="41"/>
      <c r="F88" s="41"/>
      <c r="G88" s="4"/>
      <c r="H88" s="139">
        <f>-PMT(H86,H85,H83,0)</f>
        <v>855.25554414970952</v>
      </c>
      <c r="I88" s="4"/>
      <c r="J88" s="133"/>
      <c r="K88" s="53"/>
      <c r="L88" s="64">
        <f>-PMT(L86,L85,L83,0)</f>
        <v>550.61971298699325</v>
      </c>
      <c r="M88" s="4"/>
      <c r="N88" s="145" t="s">
        <v>7</v>
      </c>
      <c r="O88" s="47"/>
    </row>
    <row r="89" spans="2:26" ht="15" thickBot="1" x14ac:dyDescent="0.25">
      <c r="J89" s="133"/>
      <c r="K89" s="85"/>
      <c r="N89" s="86"/>
      <c r="O89" s="86"/>
    </row>
    <row r="90" spans="2:26" ht="15" customHeight="1" x14ac:dyDescent="0.25">
      <c r="B90" s="224" t="s">
        <v>84</v>
      </c>
      <c r="C90" s="75"/>
      <c r="D90" s="40"/>
      <c r="E90" s="40"/>
      <c r="F90" s="40"/>
      <c r="G90" s="75"/>
      <c r="H90" s="139">
        <f>H88+H52+H44</f>
        <v>3545.7031446497094</v>
      </c>
      <c r="I90" s="75"/>
      <c r="J90" s="133"/>
      <c r="K90" s="79"/>
      <c r="L90" s="62">
        <f>L88+L52+L44</f>
        <v>3057.37331842917</v>
      </c>
      <c r="M90" s="75"/>
      <c r="N90" s="250" t="s">
        <v>84</v>
      </c>
      <c r="O90" s="80"/>
      <c r="P90" s="276" t="s">
        <v>114</v>
      </c>
      <c r="Q90" s="277"/>
      <c r="R90" s="277"/>
      <c r="S90" s="277"/>
      <c r="T90" s="277"/>
      <c r="U90" s="277"/>
      <c r="V90" s="278"/>
      <c r="W90" s="141"/>
      <c r="X90" s="141"/>
      <c r="Y90" s="141"/>
      <c r="Z90" s="141"/>
    </row>
    <row r="91" spans="2:26" ht="15.75" thickBot="1" x14ac:dyDescent="0.3">
      <c r="B91" s="225"/>
      <c r="C91" s="75"/>
      <c r="D91" s="40"/>
      <c r="E91" s="40"/>
      <c r="F91" s="40"/>
      <c r="G91" s="6"/>
      <c r="H91" s="140">
        <f>H90/H42*100</f>
        <v>12.74754139756428</v>
      </c>
      <c r="I91" s="6"/>
      <c r="J91" s="134"/>
      <c r="K91" s="56"/>
      <c r="L91" s="63">
        <f>L90/L42*100</f>
        <v>10.991893950088334</v>
      </c>
      <c r="M91" s="6"/>
      <c r="N91" s="251"/>
      <c r="O91" s="51"/>
      <c r="P91" s="279"/>
      <c r="Q91" s="280"/>
      <c r="R91" s="280"/>
      <c r="S91" s="280"/>
      <c r="T91" s="280"/>
      <c r="U91" s="280"/>
      <c r="V91" s="281"/>
      <c r="W91" s="141"/>
      <c r="X91" s="141"/>
      <c r="Y91" s="141"/>
      <c r="Z91" s="141"/>
    </row>
    <row r="93" spans="2:26" ht="15.75" thickBot="1" x14ac:dyDescent="0.3">
      <c r="L93" s="172" t="s">
        <v>89</v>
      </c>
    </row>
    <row r="94" spans="2:26" x14ac:dyDescent="0.2">
      <c r="L94" s="173">
        <f>L21+L24</f>
        <v>1767.94693877551</v>
      </c>
      <c r="N94" s="175" t="s">
        <v>70</v>
      </c>
    </row>
    <row r="95" spans="2:26" x14ac:dyDescent="0.2">
      <c r="L95" s="174">
        <f>L48</f>
        <v>620.1</v>
      </c>
      <c r="N95" s="176" t="s">
        <v>36</v>
      </c>
    </row>
    <row r="96" spans="2:26" ht="15" thickBot="1" x14ac:dyDescent="0.25">
      <c r="D96" s="96"/>
      <c r="E96" s="96"/>
      <c r="F96" s="96"/>
      <c r="H96" s="96"/>
      <c r="L96" s="177">
        <f>-PMT(L86,L85,L71)</f>
        <v>509.64336225307744</v>
      </c>
      <c r="N96" s="177" t="s">
        <v>78</v>
      </c>
      <c r="P96" s="185" t="s">
        <v>85</v>
      </c>
      <c r="Q96" s="186"/>
      <c r="R96" s="186"/>
      <c r="S96" s="186"/>
      <c r="T96" s="186"/>
      <c r="U96" s="186"/>
      <c r="V96" s="187"/>
    </row>
    <row r="97" spans="4:22" ht="15.75" thickBot="1" x14ac:dyDescent="0.3">
      <c r="D97" s="98"/>
      <c r="E97" s="98"/>
      <c r="F97" s="98"/>
      <c r="L97" s="178">
        <f>L94+L95+L96</f>
        <v>2897.6903010285878</v>
      </c>
      <c r="N97" s="178" t="s">
        <v>71</v>
      </c>
    </row>
    <row r="98" spans="4:22" ht="15" thickBot="1" x14ac:dyDescent="0.25">
      <c r="D98" s="96"/>
      <c r="E98" s="96"/>
      <c r="F98" s="96"/>
    </row>
    <row r="99" spans="4:22" ht="15.75" thickBot="1" x14ac:dyDescent="0.3">
      <c r="D99" s="96"/>
      <c r="E99" s="96"/>
      <c r="F99" s="96"/>
      <c r="L99" s="178">
        <f>L38</f>
        <v>118.70666666666666</v>
      </c>
      <c r="N99" s="183" t="s">
        <v>79</v>
      </c>
    </row>
    <row r="100" spans="4:22" ht="15" thickBot="1" x14ac:dyDescent="0.25">
      <c r="D100" s="96"/>
      <c r="E100" s="96"/>
      <c r="F100" s="96"/>
    </row>
    <row r="101" spans="4:22" x14ac:dyDescent="0.2">
      <c r="L101" s="173">
        <f>-PMT(L86,L85,L72-L74)</f>
        <v>0</v>
      </c>
      <c r="N101" s="175" t="s">
        <v>47</v>
      </c>
    </row>
    <row r="102" spans="4:22" ht="15" thickBot="1" x14ac:dyDescent="0.25">
      <c r="L102" s="177">
        <f>-PMT(L86,L85,L80-L81)</f>
        <v>40.97635073391578</v>
      </c>
      <c r="N102" s="177" t="s">
        <v>31</v>
      </c>
    </row>
    <row r="103" spans="4:22" ht="15.75" thickBot="1" x14ac:dyDescent="0.3">
      <c r="L103" s="178">
        <f>L102+L101</f>
        <v>40.97635073391578</v>
      </c>
      <c r="N103" s="178" t="s">
        <v>77</v>
      </c>
      <c r="P103" s="282" t="s">
        <v>86</v>
      </c>
      <c r="Q103" s="282"/>
      <c r="R103" s="282"/>
      <c r="S103" s="282"/>
      <c r="T103" s="282"/>
      <c r="U103" s="282"/>
      <c r="V103" s="282"/>
    </row>
    <row r="105" spans="4:22" x14ac:dyDescent="0.2">
      <c r="L105" s="96"/>
    </row>
    <row r="107" spans="4:22" x14ac:dyDescent="0.2">
      <c r="L107" s="96"/>
    </row>
  </sheetData>
  <mergeCells count="36">
    <mergeCell ref="P103:V103"/>
    <mergeCell ref="P12:V12"/>
    <mergeCell ref="P55:V56"/>
    <mergeCell ref="P48:V48"/>
    <mergeCell ref="P49:V49"/>
    <mergeCell ref="P50:V50"/>
    <mergeCell ref="P21:V22"/>
    <mergeCell ref="P17:S19"/>
    <mergeCell ref="J6:J7"/>
    <mergeCell ref="L6:N6"/>
    <mergeCell ref="B2:N3"/>
    <mergeCell ref="N44:N45"/>
    <mergeCell ref="J10:J45"/>
    <mergeCell ref="B44:B45"/>
    <mergeCell ref="F6:F7"/>
    <mergeCell ref="F10:F45"/>
    <mergeCell ref="B21:B22"/>
    <mergeCell ref="P30:S32"/>
    <mergeCell ref="N48:N50"/>
    <mergeCell ref="N55:N56"/>
    <mergeCell ref="N90:N91"/>
    <mergeCell ref="AA14:AC14"/>
    <mergeCell ref="P24:S26"/>
    <mergeCell ref="P34:S36"/>
    <mergeCell ref="P38:V39"/>
    <mergeCell ref="AA25:AB25"/>
    <mergeCell ref="AA26:AB26"/>
    <mergeCell ref="P90:V91"/>
    <mergeCell ref="B55:B56"/>
    <mergeCell ref="B90:B91"/>
    <mergeCell ref="L48:L50"/>
    <mergeCell ref="J55:J63"/>
    <mergeCell ref="B73:B74"/>
    <mergeCell ref="B68:H68"/>
    <mergeCell ref="F55:F63"/>
    <mergeCell ref="L68:N6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1"/>
  <sheetViews>
    <sheetView workbookViewId="0">
      <selection activeCell="B8" sqref="B8"/>
    </sheetView>
  </sheetViews>
  <sheetFormatPr baseColWidth="10" defaultRowHeight="15" x14ac:dyDescent="0.25"/>
  <cols>
    <col min="1" max="1" width="55.5703125" bestFit="1" customWidth="1"/>
    <col min="2" max="8" width="11.85546875" bestFit="1" customWidth="1"/>
    <col min="10" max="10" width="14.85546875" bestFit="1" customWidth="1"/>
  </cols>
  <sheetData>
    <row r="1" spans="1:16" x14ac:dyDescent="0.25">
      <c r="A1" s="8"/>
      <c r="B1" s="8"/>
      <c r="C1" s="8"/>
      <c r="D1" s="8"/>
      <c r="E1" s="8"/>
      <c r="F1" s="8"/>
      <c r="G1" s="8"/>
      <c r="H1" s="8"/>
    </row>
    <row r="2" spans="1:16" ht="15.75" thickBot="1" x14ac:dyDescent="0.3">
      <c r="A2" s="5" t="s">
        <v>94</v>
      </c>
      <c r="B2" s="8"/>
      <c r="C2" s="8"/>
      <c r="D2" s="8"/>
      <c r="E2" s="8"/>
      <c r="F2" s="8"/>
      <c r="G2" s="8"/>
      <c r="H2" s="8"/>
      <c r="J2" t="s">
        <v>68</v>
      </c>
      <c r="L2" s="171" t="s">
        <v>69</v>
      </c>
    </row>
    <row r="3" spans="1:16" s="1" customFormat="1" x14ac:dyDescent="0.25">
      <c r="A3" s="157" t="s">
        <v>10</v>
      </c>
      <c r="B3" s="158">
        <v>8</v>
      </c>
      <c r="C3" s="158">
        <v>12</v>
      </c>
      <c r="D3" s="158">
        <v>16</v>
      </c>
      <c r="E3" s="158">
        <v>19</v>
      </c>
      <c r="F3" s="158">
        <v>23</v>
      </c>
      <c r="G3" s="158">
        <v>25</v>
      </c>
      <c r="H3" s="159">
        <v>38</v>
      </c>
      <c r="J3" s="170">
        <f>IF($L$3&lt;=$B$3,B3,IF($L$3&lt;=$C$3,C3,IF($L$3&lt;=$D$3,D3,IF($L$3&lt;=$E$3,E3,IF($L$3&lt;=$F$3,F3,IF($L$3&lt;=$G$3,G3,H3))))))</f>
        <v>19</v>
      </c>
      <c r="L3" s="188">
        <f>Ergebnis!D12</f>
        <v>16.34</v>
      </c>
    </row>
    <row r="4" spans="1:16" s="1" customFormat="1" x14ac:dyDescent="0.25">
      <c r="A4" s="283" t="s">
        <v>65</v>
      </c>
      <c r="B4" s="160">
        <f>SUM(B9:B12,B13)*B5</f>
        <v>428.01081049999993</v>
      </c>
      <c r="C4" s="160">
        <f t="shared" ref="C4:H4" si="0">SUM(C9:C12,C13)*C5</f>
        <v>428.01081049999993</v>
      </c>
      <c r="D4" s="160">
        <f t="shared" si="0"/>
        <v>428.01081049999993</v>
      </c>
      <c r="E4" s="160">
        <f t="shared" si="0"/>
        <v>428.01081049999993</v>
      </c>
      <c r="F4" s="160">
        <f t="shared" si="0"/>
        <v>462.93662624999996</v>
      </c>
      <c r="G4" s="160">
        <f t="shared" si="0"/>
        <v>462.93662624999996</v>
      </c>
      <c r="H4" s="161">
        <f t="shared" si="0"/>
        <v>590.57409249999989</v>
      </c>
      <c r="J4" s="189">
        <f t="shared" ref="J4:J7" si="1">IF($L$3&lt;=$B$3,B4,IF($L$3&lt;=$C$3,C4,IF($L$3&lt;=$D$3,D4,IF($L$3&lt;=$E$3,E4,IF($L$3&lt;=$F$3,F4,IF($L$3&lt;=$G$3,G4,H4))))))</f>
        <v>428.01081049999993</v>
      </c>
    </row>
    <row r="5" spans="1:16" s="1" customFormat="1" x14ac:dyDescent="0.25">
      <c r="A5" s="283"/>
      <c r="B5" s="162">
        <v>1.7500000000000002E-2</v>
      </c>
      <c r="C5" s="162">
        <v>1.7500000000000002E-2</v>
      </c>
      <c r="D5" s="162">
        <v>1.7500000000000002E-2</v>
      </c>
      <c r="E5" s="162">
        <v>1.7500000000000002E-2</v>
      </c>
      <c r="F5" s="162">
        <v>1.7500000000000002E-2</v>
      </c>
      <c r="G5" s="162">
        <v>1.7500000000000002E-2</v>
      </c>
      <c r="H5" s="163">
        <v>1.7500000000000002E-2</v>
      </c>
      <c r="J5" s="190">
        <f t="shared" si="1"/>
        <v>1.7500000000000002E-2</v>
      </c>
    </row>
    <row r="6" spans="1:16" s="1" customFormat="1" x14ac:dyDescent="0.25">
      <c r="A6" s="164" t="s">
        <v>66</v>
      </c>
      <c r="B6" s="160">
        <v>183.5932</v>
      </c>
      <c r="C6" s="160">
        <v>183.5932</v>
      </c>
      <c r="D6" s="160">
        <v>183.5932</v>
      </c>
      <c r="E6" s="160">
        <v>183.5932</v>
      </c>
      <c r="F6" s="160">
        <v>183.5932</v>
      </c>
      <c r="G6" s="160">
        <v>183.5932</v>
      </c>
      <c r="H6" s="161">
        <v>228.42287999999999</v>
      </c>
      <c r="J6" s="189">
        <f t="shared" si="1"/>
        <v>183.5932</v>
      </c>
    </row>
    <row r="7" spans="1:16" s="1" customFormat="1" x14ac:dyDescent="0.25">
      <c r="A7" s="283" t="s">
        <v>67</v>
      </c>
      <c r="B7" s="165">
        <f t="shared" ref="B7:H7" si="2">SUM(B9:B13)</f>
        <v>24457.760599999994</v>
      </c>
      <c r="C7" s="165">
        <f t="shared" si="2"/>
        <v>24457.760599999994</v>
      </c>
      <c r="D7" s="165">
        <f t="shared" si="2"/>
        <v>24457.760599999994</v>
      </c>
      <c r="E7" s="165">
        <f t="shared" si="2"/>
        <v>24457.760599999994</v>
      </c>
      <c r="F7" s="165">
        <f t="shared" si="2"/>
        <v>26453.521499999995</v>
      </c>
      <c r="G7" s="165">
        <f t="shared" si="2"/>
        <v>26453.521499999995</v>
      </c>
      <c r="H7" s="166">
        <f t="shared" si="2"/>
        <v>33747.090999999993</v>
      </c>
      <c r="J7" s="191">
        <f t="shared" si="1"/>
        <v>24457.760599999994</v>
      </c>
    </row>
    <row r="8" spans="1:16" s="1" customFormat="1" ht="15.75" thickBot="1" x14ac:dyDescent="0.3">
      <c r="A8" s="284"/>
      <c r="B8" s="167">
        <f>B7/B3</f>
        <v>3057.2200749999993</v>
      </c>
      <c r="C8" s="167">
        <f t="shared" ref="C8:H8" si="3">C7/C3</f>
        <v>2038.1467166666662</v>
      </c>
      <c r="D8" s="167">
        <f t="shared" si="3"/>
        <v>1528.6100374999996</v>
      </c>
      <c r="E8" s="167">
        <f t="shared" si="3"/>
        <v>1287.2505578947366</v>
      </c>
      <c r="F8" s="167">
        <f t="shared" si="3"/>
        <v>1150.153108695652</v>
      </c>
      <c r="G8" s="167">
        <f t="shared" si="3"/>
        <v>1058.1408599999997</v>
      </c>
      <c r="H8" s="168">
        <f t="shared" si="3"/>
        <v>888.08134210526293</v>
      </c>
      <c r="J8" s="192">
        <f>IF($L$3&lt;=$B$3,B8,IF($L$3&lt;=$C$3,C8,IF($L$3&lt;=$D$3,D8,IF($L$3&lt;=$E$3,E8,IF($L$3&lt;=$F$3,F8,IF($L$3&lt;=$G$3,G8,H8))))))</f>
        <v>1287.2505578947366</v>
      </c>
    </row>
    <row r="9" spans="1:16" x14ac:dyDescent="0.25">
      <c r="A9" s="9" t="s">
        <v>113</v>
      </c>
      <c r="B9" s="10">
        <v>19001.681999999997</v>
      </c>
      <c r="C9" s="10">
        <v>19001.681999999997</v>
      </c>
      <c r="D9" s="10">
        <v>19001.681999999997</v>
      </c>
      <c r="E9" s="10">
        <v>19001.681999999997</v>
      </c>
      <c r="F9" s="10">
        <v>20812.945299999999</v>
      </c>
      <c r="G9" s="10">
        <v>20812.945299999999</v>
      </c>
      <c r="H9" s="15">
        <v>26640.744199999997</v>
      </c>
      <c r="J9" s="156"/>
      <c r="K9" s="156"/>
      <c r="L9" s="156"/>
      <c r="M9" s="156"/>
      <c r="N9" s="156"/>
      <c r="O9" s="156"/>
      <c r="P9" s="156"/>
    </row>
    <row r="10" spans="1:16" x14ac:dyDescent="0.25">
      <c r="A10" s="9" t="s">
        <v>95</v>
      </c>
      <c r="B10" s="10">
        <v>498.80040000000002</v>
      </c>
      <c r="C10" s="10">
        <v>498.80040000000002</v>
      </c>
      <c r="D10" s="10">
        <v>498.80040000000002</v>
      </c>
      <c r="E10" s="10">
        <v>498.80040000000002</v>
      </c>
      <c r="F10" s="10">
        <v>498.80040000000002</v>
      </c>
      <c r="G10" s="10">
        <v>498.80040000000002</v>
      </c>
      <c r="H10" s="15">
        <v>598.7604</v>
      </c>
      <c r="J10" s="156"/>
      <c r="K10" s="156"/>
      <c r="L10" s="156"/>
      <c r="M10" s="156"/>
      <c r="N10" s="156"/>
      <c r="O10" s="156"/>
      <c r="P10" s="156"/>
    </row>
    <row r="11" spans="1:16" x14ac:dyDescent="0.25">
      <c r="A11" s="9" t="s">
        <v>8</v>
      </c>
      <c r="B11" s="10">
        <v>160.04310000000001</v>
      </c>
      <c r="C11" s="10">
        <v>160.04310000000001</v>
      </c>
      <c r="D11" s="10">
        <v>160.04310000000001</v>
      </c>
      <c r="E11" s="10">
        <v>160.04310000000001</v>
      </c>
      <c r="F11" s="10">
        <v>160.04310000000001</v>
      </c>
      <c r="G11" s="10">
        <v>160.04310000000001</v>
      </c>
      <c r="H11" s="15">
        <v>180.88</v>
      </c>
      <c r="J11" s="156"/>
      <c r="K11" s="156"/>
      <c r="L11" s="156"/>
      <c r="M11" s="156"/>
      <c r="N11" s="156"/>
      <c r="O11" s="156"/>
      <c r="P11" s="156"/>
    </row>
    <row r="12" spans="1:16" x14ac:dyDescent="0.25">
      <c r="A12" s="9" t="s">
        <v>96</v>
      </c>
      <c r="B12" s="10">
        <v>1879.3074999999999</v>
      </c>
      <c r="C12" s="10">
        <v>1879.3074999999999</v>
      </c>
      <c r="D12" s="10">
        <v>1879.3074999999999</v>
      </c>
      <c r="E12" s="10">
        <v>1879.3074999999999</v>
      </c>
      <c r="F12" s="10">
        <v>2009.4101999999998</v>
      </c>
      <c r="G12" s="10">
        <v>2009.4101999999998</v>
      </c>
      <c r="H12" s="15">
        <v>2686.6153999999997</v>
      </c>
      <c r="J12" s="156"/>
      <c r="K12" s="156"/>
      <c r="L12" s="156"/>
      <c r="M12" s="156"/>
      <c r="N12" s="156"/>
      <c r="O12" s="156"/>
      <c r="P12" s="156"/>
    </row>
    <row r="13" spans="1:16" ht="15.75" thickBot="1" x14ac:dyDescent="0.3">
      <c r="A13" s="11" t="s">
        <v>9</v>
      </c>
      <c r="B13" s="12">
        <v>2917.9276</v>
      </c>
      <c r="C13" s="12">
        <v>2917.9276</v>
      </c>
      <c r="D13" s="12">
        <v>2917.9276</v>
      </c>
      <c r="E13" s="12">
        <v>2917.9276</v>
      </c>
      <c r="F13" s="12">
        <v>2972.3224999999998</v>
      </c>
      <c r="G13" s="12">
        <v>2972.3224999999998</v>
      </c>
      <c r="H13" s="16">
        <v>3640.0909999999999</v>
      </c>
      <c r="J13" s="156"/>
      <c r="K13" s="156"/>
      <c r="L13" s="156"/>
      <c r="M13" s="156"/>
      <c r="N13" s="156"/>
      <c r="O13" s="156"/>
      <c r="P13" s="156"/>
    </row>
    <row r="14" spans="1:16" x14ac:dyDescent="0.25">
      <c r="A14" s="13"/>
      <c r="B14" s="14"/>
      <c r="C14" s="14"/>
      <c r="D14" s="14"/>
      <c r="E14" s="14"/>
      <c r="F14" s="14"/>
      <c r="G14" s="14"/>
      <c r="H14" s="14"/>
    </row>
    <row r="15" spans="1:16" s="1" customFormat="1" x14ac:dyDescent="0.25">
      <c r="A15" s="5" t="s">
        <v>63</v>
      </c>
    </row>
    <row r="16" spans="1:16" s="1" customFormat="1" x14ac:dyDescent="0.25">
      <c r="A16" s="193" t="s">
        <v>11</v>
      </c>
      <c r="B16" s="285" t="s">
        <v>90</v>
      </c>
      <c r="C16" s="286"/>
      <c r="D16" s="286"/>
      <c r="E16" s="286"/>
      <c r="F16" s="286"/>
      <c r="G16" s="286"/>
      <c r="H16" s="287"/>
    </row>
    <row r="17" spans="1:10" s="1" customFormat="1" x14ac:dyDescent="0.25">
      <c r="A17" s="193" t="s">
        <v>21</v>
      </c>
      <c r="B17" s="288"/>
      <c r="C17" s="289"/>
      <c r="D17" s="289"/>
      <c r="E17" s="289"/>
      <c r="F17" s="289"/>
      <c r="G17" s="289"/>
      <c r="H17" s="290"/>
    </row>
    <row r="18" spans="1:10" s="1" customFormat="1" x14ac:dyDescent="0.25">
      <c r="A18" s="193" t="s">
        <v>64</v>
      </c>
      <c r="B18" s="288"/>
      <c r="C18" s="289"/>
      <c r="D18" s="289"/>
      <c r="E18" s="289"/>
      <c r="F18" s="289"/>
      <c r="G18" s="289"/>
      <c r="H18" s="290"/>
    </row>
    <row r="19" spans="1:10" s="1" customFormat="1" x14ac:dyDescent="0.25">
      <c r="A19" s="193" t="s">
        <v>22</v>
      </c>
      <c r="B19" s="288"/>
      <c r="C19" s="289"/>
      <c r="D19" s="289"/>
      <c r="E19" s="289"/>
      <c r="F19" s="289"/>
      <c r="G19" s="289"/>
      <c r="H19" s="290"/>
    </row>
    <row r="20" spans="1:10" s="1" customFormat="1" x14ac:dyDescent="0.25">
      <c r="A20" s="193" t="s">
        <v>12</v>
      </c>
      <c r="B20" s="288"/>
      <c r="C20" s="289"/>
      <c r="D20" s="289"/>
      <c r="E20" s="289"/>
      <c r="F20" s="289"/>
      <c r="G20" s="289"/>
      <c r="H20" s="290"/>
    </row>
    <row r="21" spans="1:10" s="1" customFormat="1" x14ac:dyDescent="0.25">
      <c r="A21" s="193" t="s">
        <v>13</v>
      </c>
      <c r="B21" s="288"/>
      <c r="C21" s="289"/>
      <c r="D21" s="289"/>
      <c r="E21" s="289"/>
      <c r="F21" s="289"/>
      <c r="G21" s="289"/>
      <c r="H21" s="290"/>
    </row>
    <row r="22" spans="1:10" s="1" customFormat="1" x14ac:dyDescent="0.25">
      <c r="A22" s="193" t="s">
        <v>14</v>
      </c>
      <c r="B22" s="288"/>
      <c r="C22" s="289"/>
      <c r="D22" s="289"/>
      <c r="E22" s="289"/>
      <c r="F22" s="289"/>
      <c r="G22" s="289"/>
      <c r="H22" s="290"/>
    </row>
    <row r="23" spans="1:10" s="1" customFormat="1" x14ac:dyDescent="0.25">
      <c r="A23" s="193" t="s">
        <v>15</v>
      </c>
      <c r="B23" s="288"/>
      <c r="C23" s="289"/>
      <c r="D23" s="289"/>
      <c r="E23" s="289"/>
      <c r="F23" s="289"/>
      <c r="G23" s="289"/>
      <c r="H23" s="290"/>
    </row>
    <row r="24" spans="1:10" s="1" customFormat="1" x14ac:dyDescent="0.25">
      <c r="A24" s="193" t="s">
        <v>16</v>
      </c>
      <c r="B24" s="288"/>
      <c r="C24" s="289"/>
      <c r="D24" s="289"/>
      <c r="E24" s="289"/>
      <c r="F24" s="289"/>
      <c r="G24" s="289"/>
      <c r="H24" s="290"/>
    </row>
    <row r="25" spans="1:10" s="1" customFormat="1" x14ac:dyDescent="0.25">
      <c r="A25" s="193" t="s">
        <v>17</v>
      </c>
      <c r="B25" s="288"/>
      <c r="C25" s="289"/>
      <c r="D25" s="289"/>
      <c r="E25" s="289"/>
      <c r="F25" s="289"/>
      <c r="G25" s="289"/>
      <c r="H25" s="290"/>
    </row>
    <row r="26" spans="1:10" s="1" customFormat="1" x14ac:dyDescent="0.25">
      <c r="A26" s="193" t="s">
        <v>18</v>
      </c>
      <c r="B26" s="288"/>
      <c r="C26" s="289"/>
      <c r="D26" s="289"/>
      <c r="E26" s="289"/>
      <c r="F26" s="289"/>
      <c r="G26" s="289"/>
      <c r="H26" s="290"/>
    </row>
    <row r="27" spans="1:10" s="1" customFormat="1" x14ac:dyDescent="0.25">
      <c r="A27" s="193" t="s">
        <v>19</v>
      </c>
      <c r="B27" s="291"/>
      <c r="C27" s="292"/>
      <c r="D27" s="292"/>
      <c r="E27" s="292"/>
      <c r="F27" s="292"/>
      <c r="G27" s="292"/>
      <c r="H27" s="293"/>
    </row>
    <row r="28" spans="1:10" s="1" customFormat="1" ht="15.75" thickBot="1" x14ac:dyDescent="0.3"/>
    <row r="29" spans="1:10" s="1" customFormat="1" ht="15.75" thickBot="1" x14ac:dyDescent="0.3">
      <c r="A29" s="169" t="s">
        <v>20</v>
      </c>
      <c r="B29" s="184">
        <f>B7</f>
        <v>24457.760599999994</v>
      </c>
      <c r="C29" s="184">
        <f t="shared" ref="C29:H29" si="4">C7</f>
        <v>24457.760599999994</v>
      </c>
      <c r="D29" s="184">
        <f t="shared" si="4"/>
        <v>24457.760599999994</v>
      </c>
      <c r="E29" s="184">
        <f t="shared" si="4"/>
        <v>24457.760599999994</v>
      </c>
      <c r="F29" s="184">
        <f t="shared" si="4"/>
        <v>26453.521499999995</v>
      </c>
      <c r="G29" s="184">
        <f t="shared" si="4"/>
        <v>26453.521499999995</v>
      </c>
      <c r="H29" s="184">
        <f t="shared" si="4"/>
        <v>33747.090999999993</v>
      </c>
      <c r="J29" s="184">
        <f>IF($L$3&lt;=$B$3,B29,IF($L$3&lt;=$C$3,C29,IF($L$3&lt;=$D$3,D29,IF($L$3&lt;=$E$3,E29,IF($L$3&lt;=$F$3,F29,IF($L$3&lt;=$G$3,G29,H29))))))</f>
        <v>24457.760599999994</v>
      </c>
    </row>
    <row r="30" spans="1:10" ht="15.75" thickBot="1" x14ac:dyDescent="0.3">
      <c r="J30" s="1"/>
    </row>
    <row r="31" spans="1:10" ht="15.75" thickBot="1" x14ac:dyDescent="0.3">
      <c r="A31" s="216" t="s">
        <v>106</v>
      </c>
      <c r="B31" s="217">
        <v>226.62600000000003</v>
      </c>
      <c r="C31" s="217">
        <v>224.24142857142857</v>
      </c>
      <c r="D31" s="217">
        <v>217.10300000000001</v>
      </c>
      <c r="E31" s="217">
        <v>211.0575</v>
      </c>
      <c r="F31" s="217">
        <v>210.79</v>
      </c>
      <c r="G31" s="217">
        <v>210.56071428571428</v>
      </c>
      <c r="H31" s="218">
        <v>210.56071428571428</v>
      </c>
      <c r="J31" s="218">
        <f>IF($L$3&lt;=$B$3,B31,IF($L$3&lt;=$C$3,C31,IF($L$3&lt;=$D$3,D31,IF($L$3&lt;=$E$3,E31,IF($L$3&lt;=$F$3,F31,IF($L$3&lt;=$G$3,G31,H31))))))</f>
        <v>211.0575</v>
      </c>
    </row>
  </sheetData>
  <mergeCells count="3">
    <mergeCell ref="A4:A5"/>
    <mergeCell ref="A7:A8"/>
    <mergeCell ref="B16:H27"/>
  </mergeCells>
  <phoneticPr fontId="16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Ergebnis</vt:lpstr>
      <vt:lpstr>Daten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Ap-Wärme</dc:creator>
  <cp:lastModifiedBy>Hubert Daubmeier</cp:lastModifiedBy>
  <dcterms:created xsi:type="dcterms:W3CDTF">2014-08-19T13:12:21Z</dcterms:created>
  <dcterms:modified xsi:type="dcterms:W3CDTF">2021-08-05T13:07:06Z</dcterms:modified>
</cp:coreProperties>
</file>